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05" windowHeight="8535" tabRatio="785" activeTab="0"/>
  </bookViews>
  <sheets>
    <sheet name="Home" sheetId="1" r:id="rId1"/>
    <sheet name="Power" sheetId="2" r:id="rId2"/>
    <sheet name="VSWR &amp; RL" sheetId="3" r:id="rId3"/>
    <sheet name="Freq &amp; Wave" sheetId="4" r:id="rId4"/>
    <sheet name="Atten" sheetId="5" r:id="rId5"/>
    <sheet name="Directivity" sheetId="6" r:id="rId6"/>
    <sheet name="Cable Loss" sheetId="7" r:id="rId7"/>
    <sheet name="Masking Effect" sheetId="8" r:id="rId8"/>
    <sheet name="Field Strength" sheetId="9" r:id="rId9"/>
    <sheet name="Free Space Loss" sheetId="10" r:id="rId10"/>
    <sheet name="Metric" sheetId="11" r:id="rId11"/>
  </sheets>
  <definedNames>
    <definedName name="solver_adj" localSheetId="6" hidden="1">'Cable Loss'!#REF!</definedName>
    <definedName name="solver_adj" localSheetId="5" hidden="1">'Directivity'!#REF!</definedName>
    <definedName name="solver_adj" localSheetId="8" hidden="1">'Field Strength'!#REF!</definedName>
    <definedName name="solver_adj" localSheetId="9" hidden="1">'Free Space Loss'!#REF!</definedName>
    <definedName name="solver_adj" localSheetId="3" hidden="1">'Freq &amp; Wave'!#REF!</definedName>
    <definedName name="solver_adj" localSheetId="0" hidden="1">'Home'!#REF!</definedName>
    <definedName name="solver_adj" localSheetId="7" hidden="1">'Masking Effect'!#REF!</definedName>
    <definedName name="solver_adj" localSheetId="10" hidden="1">'Metric'!#REF!</definedName>
    <definedName name="solver_adj" localSheetId="1" hidden="1">'Power'!#REF!</definedName>
    <definedName name="solver_adj" localSheetId="2" hidden="1">'VSWR &amp; RL'!#REF!</definedName>
    <definedName name="solver_cvg" localSheetId="6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3" hidden="1">0.0001</definedName>
    <definedName name="solver_cvg" localSheetId="0" hidden="1">0.0001</definedName>
    <definedName name="solver_cvg" localSheetId="7" hidden="1">0.0001</definedName>
    <definedName name="solver_cvg" localSheetId="10" hidden="1">0.0001</definedName>
    <definedName name="solver_cvg" localSheetId="1" hidden="1">0.0001</definedName>
    <definedName name="solver_cvg" localSheetId="2" hidden="1">0.0001</definedName>
    <definedName name="solver_drv" localSheetId="6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3" hidden="1">1</definedName>
    <definedName name="solver_drv" localSheetId="0" hidden="1">1</definedName>
    <definedName name="solver_drv" localSheetId="7" hidden="1">1</definedName>
    <definedName name="solver_drv" localSheetId="10" hidden="1">1</definedName>
    <definedName name="solver_drv" localSheetId="1" hidden="1">1</definedName>
    <definedName name="solver_drv" localSheetId="2" hidden="1">1</definedName>
    <definedName name="solver_est" localSheetId="6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3" hidden="1">1</definedName>
    <definedName name="solver_est" localSheetId="0" hidden="1">1</definedName>
    <definedName name="solver_est" localSheetId="7" hidden="1">1</definedName>
    <definedName name="solver_est" localSheetId="10" hidden="1">1</definedName>
    <definedName name="solver_est" localSheetId="1" hidden="1">1</definedName>
    <definedName name="solver_est" localSheetId="2" hidden="1">1</definedName>
    <definedName name="solver_itr" localSheetId="6" hidden="1">100</definedName>
    <definedName name="solver_itr" localSheetId="5" hidden="1">100</definedName>
    <definedName name="solver_itr" localSheetId="8" hidden="1">100</definedName>
    <definedName name="solver_itr" localSheetId="9" hidden="1">100</definedName>
    <definedName name="solver_itr" localSheetId="3" hidden="1">100</definedName>
    <definedName name="solver_itr" localSheetId="0" hidden="1">100</definedName>
    <definedName name="solver_itr" localSheetId="7" hidden="1">100</definedName>
    <definedName name="solver_itr" localSheetId="10" hidden="1">100</definedName>
    <definedName name="solver_itr" localSheetId="1" hidden="1">100</definedName>
    <definedName name="solver_itr" localSheetId="2" hidden="1">100</definedName>
    <definedName name="solver_lin" localSheetId="6" hidden="1">2</definedName>
    <definedName name="solver_lin" localSheetId="5" hidden="1">2</definedName>
    <definedName name="solver_lin" localSheetId="8" hidden="1">2</definedName>
    <definedName name="solver_lin" localSheetId="9" hidden="1">2</definedName>
    <definedName name="solver_lin" localSheetId="3" hidden="1">2</definedName>
    <definedName name="solver_lin" localSheetId="0" hidden="1">2</definedName>
    <definedName name="solver_lin" localSheetId="7" hidden="1">2</definedName>
    <definedName name="solver_lin" localSheetId="10" hidden="1">2</definedName>
    <definedName name="solver_lin" localSheetId="1" hidden="1">2</definedName>
    <definedName name="solver_lin" localSheetId="2" hidden="1">2</definedName>
    <definedName name="solver_neg" localSheetId="6" hidden="1">2</definedName>
    <definedName name="solver_neg" localSheetId="5" hidden="1">2</definedName>
    <definedName name="solver_neg" localSheetId="8" hidden="1">2</definedName>
    <definedName name="solver_neg" localSheetId="9" hidden="1">2</definedName>
    <definedName name="solver_neg" localSheetId="3" hidden="1">2</definedName>
    <definedName name="solver_neg" localSheetId="0" hidden="1">2</definedName>
    <definedName name="solver_neg" localSheetId="7" hidden="1">2</definedName>
    <definedName name="solver_neg" localSheetId="10" hidden="1">2</definedName>
    <definedName name="solver_neg" localSheetId="1" hidden="1">2</definedName>
    <definedName name="solver_neg" localSheetId="2" hidden="1">2</definedName>
    <definedName name="solver_num" localSheetId="6" hidden="1">0</definedName>
    <definedName name="solver_num" localSheetId="5" hidden="1">0</definedName>
    <definedName name="solver_num" localSheetId="8" hidden="1">0</definedName>
    <definedName name="solver_num" localSheetId="9" hidden="1">0</definedName>
    <definedName name="solver_num" localSheetId="3" hidden="1">0</definedName>
    <definedName name="solver_num" localSheetId="0" hidden="1">0</definedName>
    <definedName name="solver_num" localSheetId="7" hidden="1">0</definedName>
    <definedName name="solver_num" localSheetId="10" hidden="1">0</definedName>
    <definedName name="solver_num" localSheetId="1" hidden="1">0</definedName>
    <definedName name="solver_num" localSheetId="2" hidden="1">0</definedName>
    <definedName name="solver_nwt" localSheetId="6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3" hidden="1">1</definedName>
    <definedName name="solver_nwt" localSheetId="0" hidden="1">1</definedName>
    <definedName name="solver_nwt" localSheetId="7" hidden="1">1</definedName>
    <definedName name="solver_nwt" localSheetId="10" hidden="1">1</definedName>
    <definedName name="solver_nwt" localSheetId="1" hidden="1">1</definedName>
    <definedName name="solver_nwt" localSheetId="2" hidden="1">1</definedName>
    <definedName name="solver_opt" localSheetId="6" hidden="1">'Cable Loss'!#REF!</definedName>
    <definedName name="solver_opt" localSheetId="5" hidden="1">'Directivity'!#REF!</definedName>
    <definedName name="solver_opt" localSheetId="8" hidden="1">'Field Strength'!#REF!</definedName>
    <definedName name="solver_opt" localSheetId="9" hidden="1">'Free Space Loss'!#REF!</definedName>
    <definedName name="solver_opt" localSheetId="3" hidden="1">'Freq &amp; Wave'!#REF!</definedName>
    <definedName name="solver_opt" localSheetId="0" hidden="1">'Home'!#REF!</definedName>
    <definedName name="solver_opt" localSheetId="7" hidden="1">'Masking Effect'!#REF!</definedName>
    <definedName name="solver_opt" localSheetId="10" hidden="1">'Metric'!#REF!</definedName>
    <definedName name="solver_opt" localSheetId="1" hidden="1">'Power'!#REF!</definedName>
    <definedName name="solver_opt" localSheetId="2" hidden="1">'VSWR &amp; RL'!#REF!</definedName>
    <definedName name="solver_pre" localSheetId="6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3" hidden="1">0.000001</definedName>
    <definedName name="solver_pre" localSheetId="0" hidden="1">0.000001</definedName>
    <definedName name="solver_pre" localSheetId="7" hidden="1">0.000001</definedName>
    <definedName name="solver_pre" localSheetId="10" hidden="1">0.000001</definedName>
    <definedName name="solver_pre" localSheetId="1" hidden="1">0.000001</definedName>
    <definedName name="solver_pre" localSheetId="2" hidden="1">0.000001</definedName>
    <definedName name="solver_scl" localSheetId="6" hidden="1">2</definedName>
    <definedName name="solver_scl" localSheetId="5" hidden="1">2</definedName>
    <definedName name="solver_scl" localSheetId="8" hidden="1">2</definedName>
    <definedName name="solver_scl" localSheetId="9" hidden="1">2</definedName>
    <definedName name="solver_scl" localSheetId="3" hidden="1">2</definedName>
    <definedName name="solver_scl" localSheetId="0" hidden="1">2</definedName>
    <definedName name="solver_scl" localSheetId="7" hidden="1">2</definedName>
    <definedName name="solver_scl" localSheetId="10" hidden="1">2</definedName>
    <definedName name="solver_scl" localSheetId="1" hidden="1">2</definedName>
    <definedName name="solver_scl" localSheetId="2" hidden="1">2</definedName>
    <definedName name="solver_sho" localSheetId="6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3" hidden="1">2</definedName>
    <definedName name="solver_sho" localSheetId="0" hidden="1">2</definedName>
    <definedName name="solver_sho" localSheetId="7" hidden="1">2</definedName>
    <definedName name="solver_sho" localSheetId="10" hidden="1">2</definedName>
    <definedName name="solver_sho" localSheetId="1" hidden="1">2</definedName>
    <definedName name="solver_sho" localSheetId="2" hidden="1">2</definedName>
    <definedName name="solver_tim" localSheetId="6" hidden="1">100</definedName>
    <definedName name="solver_tim" localSheetId="5" hidden="1">100</definedName>
    <definedName name="solver_tim" localSheetId="8" hidden="1">100</definedName>
    <definedName name="solver_tim" localSheetId="9" hidden="1">100</definedName>
    <definedName name="solver_tim" localSheetId="3" hidden="1">100</definedName>
    <definedName name="solver_tim" localSheetId="0" hidden="1">100</definedName>
    <definedName name="solver_tim" localSheetId="7" hidden="1">100</definedName>
    <definedName name="solver_tim" localSheetId="10" hidden="1">100</definedName>
    <definedName name="solver_tim" localSheetId="1" hidden="1">100</definedName>
    <definedName name="solver_tim" localSheetId="2" hidden="1">100</definedName>
    <definedName name="solver_tol" localSheetId="6" hidden="1">0.05</definedName>
    <definedName name="solver_tol" localSheetId="5" hidden="1">0.05</definedName>
    <definedName name="solver_tol" localSheetId="8" hidden="1">0.05</definedName>
    <definedName name="solver_tol" localSheetId="9" hidden="1">0.05</definedName>
    <definedName name="solver_tol" localSheetId="3" hidden="1">0.05</definedName>
    <definedName name="solver_tol" localSheetId="0" hidden="1">0.05</definedName>
    <definedName name="solver_tol" localSheetId="7" hidden="1">0.05</definedName>
    <definedName name="solver_tol" localSheetId="10" hidden="1">0.05</definedName>
    <definedName name="solver_tol" localSheetId="1" hidden="1">0.05</definedName>
    <definedName name="solver_tol" localSheetId="2" hidden="1">0.05</definedName>
    <definedName name="solver_typ" localSheetId="6" hidden="1">3</definedName>
    <definedName name="solver_typ" localSheetId="5" hidden="1">3</definedName>
    <definedName name="solver_typ" localSheetId="8" hidden="1">3</definedName>
    <definedName name="solver_typ" localSheetId="9" hidden="1">3</definedName>
    <definedName name="solver_typ" localSheetId="3" hidden="1">3</definedName>
    <definedName name="solver_typ" localSheetId="0" hidden="1">3</definedName>
    <definedName name="solver_typ" localSheetId="7" hidden="1">3</definedName>
    <definedName name="solver_typ" localSheetId="10" hidden="1">3</definedName>
    <definedName name="solver_typ" localSheetId="1" hidden="1">3</definedName>
    <definedName name="solver_typ" localSheetId="2" hidden="1">3</definedName>
    <definedName name="solver_val" localSheetId="6" hidden="1">1.3</definedName>
    <definedName name="solver_val" localSheetId="5" hidden="1">1.3</definedName>
    <definedName name="solver_val" localSheetId="8" hidden="1">1.3</definedName>
    <definedName name="solver_val" localSheetId="9" hidden="1">1.3</definedName>
    <definedName name="solver_val" localSheetId="3" hidden="1">1.3</definedName>
    <definedName name="solver_val" localSheetId="0" hidden="1">1.3</definedName>
    <definedName name="solver_val" localSheetId="7" hidden="1">1.3</definedName>
    <definedName name="solver_val" localSheetId="10" hidden="1">1.3</definedName>
    <definedName name="solver_val" localSheetId="1" hidden="1">1.3</definedName>
    <definedName name="solver_val" localSheetId="2" hidden="1">1.3</definedName>
  </definedNames>
  <calcPr fullCalcOnLoad="1"/>
</workbook>
</file>

<file path=xl/sharedStrings.xml><?xml version="1.0" encoding="utf-8"?>
<sst xmlns="http://schemas.openxmlformats.org/spreadsheetml/2006/main" count="658" uniqueCount="288">
  <si>
    <t>Enter</t>
  </si>
  <si>
    <t>Calculates</t>
  </si>
  <si>
    <t>VSWR</t>
  </si>
  <si>
    <t>Return Loss</t>
  </si>
  <si>
    <t>Match Efficiency</t>
  </si>
  <si>
    <t>Rho</t>
  </si>
  <si>
    <t>Forward Power</t>
  </si>
  <si>
    <t>Reflected Power</t>
  </si>
  <si>
    <t>dB</t>
  </si>
  <si>
    <t>%</t>
  </si>
  <si>
    <t>Input Power</t>
  </si>
  <si>
    <t>Watts</t>
  </si>
  <si>
    <t>Power</t>
  </si>
  <si>
    <t>Attenuation</t>
  </si>
  <si>
    <t>dBm</t>
  </si>
  <si>
    <t>Output Power</t>
  </si>
  <si>
    <t xml:space="preserve"> </t>
  </si>
  <si>
    <t>Output Power (dBm) = Input Power (dBm) - Attenuation (dB)</t>
  </si>
  <si>
    <t>VSWR = Voltage Standing Wave Ratio</t>
  </si>
  <si>
    <t>Power (dBm) = 10 x Log [ Power (Watts) ] + 30 dB</t>
  </si>
  <si>
    <t>Attenuation Calculator</t>
  </si>
  <si>
    <t>Power Calculator</t>
  </si>
  <si>
    <t>Pf = Forward Power (Watts)</t>
  </si>
  <si>
    <t>Pr = Reflected Power (Watts)</t>
  </si>
  <si>
    <t>Rho = Sqrt ( Pr / Pf )</t>
  </si>
  <si>
    <t>Return Loss (dB) = 10 x Log ( Pr / Pf )</t>
  </si>
  <si>
    <t>Kilowatts (kW)</t>
  </si>
  <si>
    <t>Watts (W)</t>
  </si>
  <si>
    <t>Milliwatts (mW)</t>
  </si>
  <si>
    <t>Microwatts (uW)</t>
  </si>
  <si>
    <t>Nanowatts (nW)</t>
  </si>
  <si>
    <t>Frequency =</t>
  </si>
  <si>
    <t>Wavelength =</t>
  </si>
  <si>
    <t>Kilohertz (kHz)</t>
  </si>
  <si>
    <t>Megahertz (MHz)</t>
  </si>
  <si>
    <t>Gigahertz (GHz)</t>
  </si>
  <si>
    <t>Meters (m)</t>
  </si>
  <si>
    <t>Centimeters (cm)</t>
  </si>
  <si>
    <t>Feet (ft)</t>
  </si>
  <si>
    <t>Inches (in)</t>
  </si>
  <si>
    <t>Power =</t>
  </si>
  <si>
    <t>1 MHz = 1,000 kHz     1 GHz = 1,000 MHz</t>
  </si>
  <si>
    <t>Wavelength (Meters) = 300 / Frequency (MHz)</t>
  </si>
  <si>
    <t>Frequency &amp; Wavelength Calculator</t>
  </si>
  <si>
    <t>Picowatts (pW)</t>
  </si>
  <si>
    <t>1 W = 1,000,000,000 nW = 1,000,000,000,000 pW</t>
  </si>
  <si>
    <t>1 kW = 1,000 W     1 W = 1,000 mW = 1,000,000 uW</t>
  </si>
  <si>
    <t>Length</t>
  </si>
  <si>
    <t>Area</t>
  </si>
  <si>
    <t>Volume</t>
  </si>
  <si>
    <t>=</t>
  </si>
  <si>
    <t>Yards (yd)</t>
  </si>
  <si>
    <t>Miles (mi)</t>
  </si>
  <si>
    <t>Kilometers (km)</t>
  </si>
  <si>
    <t>Temperature</t>
  </si>
  <si>
    <t>Kilograms (kg)</t>
  </si>
  <si>
    <t>Pounds (lb)</t>
  </si>
  <si>
    <t>Ounces (oz)</t>
  </si>
  <si>
    <t>Grams (g)</t>
  </si>
  <si>
    <t>Square cm</t>
  </si>
  <si>
    <t>Square in</t>
  </si>
  <si>
    <t>Square m</t>
  </si>
  <si>
    <t>Square mi</t>
  </si>
  <si>
    <t>Square km</t>
  </si>
  <si>
    <t>Cubic Ft (cu ft)</t>
  </si>
  <si>
    <t>Cubic M (cu m)</t>
  </si>
  <si>
    <t>Fluid Oz (fl oz)</t>
  </si>
  <si>
    <t>Square ft</t>
  </si>
  <si>
    <t>Weight</t>
  </si>
  <si>
    <t>1 in = 2.54 cm     1 m = 3.28 ft     1 mi = 1.6 km</t>
  </si>
  <si>
    <t>R = F + 459.69     K = C + 273.15</t>
  </si>
  <si>
    <t>Metric Conversions</t>
  </si>
  <si>
    <t>C = 5/9 (F - 32)</t>
  </si>
  <si>
    <t>1 sq in = 6.45 sq cm     1 sq m = 10.76 sq ft</t>
  </si>
  <si>
    <t>1 gal = 3.8 liters     1 cu m = 35.3 cu ft</t>
  </si>
  <si>
    <t>Acres</t>
  </si>
  <si>
    <t>Milliliters (ml)</t>
  </si>
  <si>
    <t>Liters (l)</t>
  </si>
  <si>
    <t>Gallons (gal)</t>
  </si>
  <si>
    <t>1 sq mi = 2.6 sq km</t>
  </si>
  <si>
    <t>Tonnes (t)</t>
  </si>
  <si>
    <t>Hundredwt (cwt)</t>
  </si>
  <si>
    <t>Tons (ton)</t>
  </si>
  <si>
    <t>1 oz = 28.35 g     1 kg = 2.2 lb     1 t = 1.1 ton</t>
  </si>
  <si>
    <t>Quarts (qt)</t>
  </si>
  <si>
    <t>1 fl oz = 29.6 ml     1 liter = 1.06 qt</t>
  </si>
  <si>
    <t>Return Loss (dB)</t>
  </si>
  <si>
    <t>Match Efficiency (%)</t>
  </si>
  <si>
    <t>VSWR &amp; Return Loss Calculator</t>
  </si>
  <si>
    <t>VSWR = [1+Sqrt(Pr / Pf)] / [1-Sqrt(Pr / Pf)]</t>
  </si>
  <si>
    <t>Match Efficiency (%) = 100% x (1 - Pr / Pf)</t>
  </si>
  <si>
    <t>Fahrenheit (F)</t>
  </si>
  <si>
    <t>Celsius (C)</t>
  </si>
  <si>
    <t>Rankine (R)</t>
  </si>
  <si>
    <t>Kelvin (K)</t>
  </si>
  <si>
    <t>Forward Voltage</t>
  </si>
  <si>
    <t>Reflected Voltage</t>
  </si>
  <si>
    <t>Volts</t>
  </si>
  <si>
    <t>Forward Voltage Maximum</t>
  </si>
  <si>
    <t>Forward Voltage Minimum</t>
  </si>
  <si>
    <t>Reflected Voltage Maximum</t>
  </si>
  <si>
    <t>Reflected Voltage Minimum</t>
  </si>
  <si>
    <t>Forward Power Maximum</t>
  </si>
  <si>
    <t>Forward Power Minimum</t>
  </si>
  <si>
    <t>Reflected Power Maximum</t>
  </si>
  <si>
    <t>Reflected Power Minimum</t>
  </si>
  <si>
    <t>Given</t>
  </si>
  <si>
    <t>VSWR Maximum</t>
  </si>
  <si>
    <t>VSWR Minimum</t>
  </si>
  <si>
    <t>Return Loss Maximum</t>
  </si>
  <si>
    <t>Return Loss Minimum</t>
  </si>
  <si>
    <t>VSWR = (1 + Rho) / (1 - Rho)</t>
  </si>
  <si>
    <t>Rho Maximum</t>
  </si>
  <si>
    <t>Rho Minimum</t>
  </si>
  <si>
    <t>Pf = Forward Power</t>
  </si>
  <si>
    <t>Pr = Reflected Power</t>
  </si>
  <si>
    <t>Vf (Max) = Vf + Vfd</t>
  </si>
  <si>
    <t>Vf (Min) = Vf - Vfd</t>
  </si>
  <si>
    <t>Vr (Max) = Vr + Vrd</t>
  </si>
  <si>
    <t>Pf (Max) = (Vf (Max) ^ 2) / 50 Ohms</t>
  </si>
  <si>
    <t>Pf (Min) = (Vf (Min) ^ 2) / 50 Ohms</t>
  </si>
  <si>
    <t>Pr (Max) = (Vr (Max) ^ 2) / 50 Ohms</t>
  </si>
  <si>
    <t>Pr (Min) = (Vr (Min) ^ 2) / 50 Ohms</t>
  </si>
  <si>
    <t>VSWR (Max) = (1 + Rho (Max)) / (1 - Rho (Max))</t>
  </si>
  <si>
    <t>VSWR (Min) = (1 + Rho (Min)) / (1 - Rho (Min))</t>
  </si>
  <si>
    <t>Return Loss (Max) = 10 x Log (Pr (Max) / Pf (Min))</t>
  </si>
  <si>
    <t>Return Loss (Min) = 10 x Log (Pr (Min) / Pf (Max))</t>
  </si>
  <si>
    <t>Rho = Sqrt (Pr / Pf)</t>
  </si>
  <si>
    <t>Rho (Max) = Sqrt (Pr (Max) / Pf (Min))</t>
  </si>
  <si>
    <t>Rho (Min) = Sqrt (Pr (Min) / Pf (Max))</t>
  </si>
  <si>
    <t>Directivity of Coupler</t>
  </si>
  <si>
    <t xml:space="preserve">Directivity is a measure of the ability of a </t>
  </si>
  <si>
    <t>transmission system.</t>
  </si>
  <si>
    <t>directional coupler to discern between the</t>
  </si>
  <si>
    <t>Directivity errors result in measurements</t>
  </si>
  <si>
    <t>which may vary between maximum and</t>
  </si>
  <si>
    <t>The following is a step-by-step procedure to calculate the results which are displayed above:</t>
  </si>
  <si>
    <t>Forward Power Max Error</t>
  </si>
  <si>
    <t>Forward Power Min Error</t>
  </si>
  <si>
    <t>Reflected Power Max Error</t>
  </si>
  <si>
    <t>Reflected Power Min Error</t>
  </si>
  <si>
    <t>Cable Insertion Loss</t>
  </si>
  <si>
    <t>Directivity Error Calculator</t>
  </si>
  <si>
    <t>CL = Cable Insertion Loss</t>
  </si>
  <si>
    <t>Pfa (Watts) = 10 ^ ((Pfa (dBm) - 30) / 10)</t>
  </si>
  <si>
    <t>Pra (Watts) = 10 ^ ((Pra (dBm) - 30) / 10)</t>
  </si>
  <si>
    <t>VSWRa = (1 + Rhoa) / (1 - Rhoa)</t>
  </si>
  <si>
    <t>RLa = 10 x Log (Pra / Pfa)</t>
  </si>
  <si>
    <t>VSWR of Antenna</t>
  </si>
  <si>
    <t>Return Loss of Antenna</t>
  </si>
  <si>
    <t>Rho of Antenna</t>
  </si>
  <si>
    <t>Rhoa = Rho of Antenna = Sqrt (Pra / Pfa)</t>
  </si>
  <si>
    <t>VSWR at Transmitter</t>
  </si>
  <si>
    <t>Return Loss at Transmitter</t>
  </si>
  <si>
    <t>RLt = Return Loss at Transmitter</t>
  </si>
  <si>
    <t>RLa = Return Loss of Antenna = RLt - (2 x CL)</t>
  </si>
  <si>
    <t>Forward Power at Transmitter</t>
  </si>
  <si>
    <t>Reflected Power at Transmitter</t>
  </si>
  <si>
    <t>Rho at Transmitter</t>
  </si>
  <si>
    <t>Pft = Forward Power at Transmitter</t>
  </si>
  <si>
    <t>Prt = Reflected Power at Transmitter</t>
  </si>
  <si>
    <t>Rhot = Sqrt (Prt / Pft)</t>
  </si>
  <si>
    <t>VSWRt = (1 + Rhot) / (1 - Rhot)</t>
  </si>
  <si>
    <t>RLt = 10 x Log (Prt / Pft)</t>
  </si>
  <si>
    <t>Pft (dBm) = 10 x Log (Pft (Watts)) + 30 dB</t>
  </si>
  <si>
    <t>Pfa (dBm) = Pft (dBm) + CL</t>
  </si>
  <si>
    <t>Prt (dBm) = 10 x Log (Prt (Watts)) + 30 dB</t>
  </si>
  <si>
    <t>Pra (dBm) = Prt (dBm) - CL</t>
  </si>
  <si>
    <t>will be masked by the cable loss.</t>
  </si>
  <si>
    <t>Antenna measurements taken</t>
  </si>
  <si>
    <t>at the transmitter end of the cable</t>
  </si>
  <si>
    <t>Forward Power at Antenna</t>
  </si>
  <si>
    <t>Reflected Power at Antenna</t>
  </si>
  <si>
    <t>Dir = Directivity of Coupler</t>
  </si>
  <si>
    <t>Directivity Power Ratio</t>
  </si>
  <si>
    <t>Directivity Power Ratio = 10 ^ (Dir / 10)</t>
  </si>
  <si>
    <t>Pfd = Pr / Directivity Power Ratio</t>
  </si>
  <si>
    <t>Prd = Pf / Directivity Power Ratio</t>
  </si>
  <si>
    <t>Return Loss = 10 x Log ( Pr / Pf )</t>
  </si>
  <si>
    <t>forward and reflected traveling wave in a</t>
  </si>
  <si>
    <t>Directivity Forward Power</t>
  </si>
  <si>
    <t>Directivity Reflected Power</t>
  </si>
  <si>
    <t>Directivity Forward Voltage</t>
  </si>
  <si>
    <t>Directivity Reflected Voltage</t>
  </si>
  <si>
    <t>Vf = Sqrt (Pf x 50 Ohms)</t>
  </si>
  <si>
    <t>Vr = Sqrt (Pr x 50 Ohms)</t>
  </si>
  <si>
    <t>Vfd = Sqrt (Pfd x 50 Ohms)</t>
  </si>
  <si>
    <t>Vrd = Sqrt (Prd x 50 Ohms)</t>
  </si>
  <si>
    <t>Error = 100% x (Pf (Max) - Pf) / Pf</t>
  </si>
  <si>
    <t>Error = 100% x (Pf (Min) - Pf) / Pf</t>
  </si>
  <si>
    <t>Error = 100% x (Pr (Max) - Pr) / Pr</t>
  </si>
  <si>
    <t>Error = 100% x (Pr (Min) - Pr) / Pr</t>
  </si>
  <si>
    <t>Vr (Min) = Vr - Vrd (or 0 if Vrd &gt; Vr)</t>
  </si>
  <si>
    <t>Note, voltage vectors add when in phase or subtract when 180 degrees out of phase with each other</t>
  </si>
  <si>
    <t>Enter directivity, forward power and reflected power to determine directivity errors.</t>
  </si>
  <si>
    <t>Enter frequency or wavelength and select units to determine equivalent values.</t>
  </si>
  <si>
    <t>Enter power and select units to determine equivalent values.</t>
  </si>
  <si>
    <t>Enter quantity and select units to determine equivalent values.</t>
  </si>
  <si>
    <t>Enter power or attenuation to determine values.</t>
  </si>
  <si>
    <t>Enter cable loss and match or forward and reflected power to determine the masking effect.</t>
  </si>
  <si>
    <t>Enter forward and reflected power or match to determine equivalent values.</t>
  </si>
  <si>
    <t>RF Calculators</t>
  </si>
  <si>
    <t>Bird Electronic Corporation     www.bird-electronic.com     (866) 695-4569     JN</t>
  </si>
  <si>
    <t xml:space="preserve"> Bird Electronic Corporation     www.bird-electronic.com     (866) 695-4569     JN</t>
  </si>
  <si>
    <t>Power meters, antenna monitors and</t>
  </si>
  <si>
    <t>analyzers are coupler based test</t>
  </si>
  <si>
    <t>equipment which are used to measure</t>
  </si>
  <si>
    <t>forward and reflected power as well as</t>
  </si>
  <si>
    <t>VSWR and return loss.</t>
  </si>
  <si>
    <t>minimum values.</t>
  </si>
  <si>
    <t>By: Jim Norton, Applications Engineer</t>
  </si>
  <si>
    <t>Select a calculator tab at the bottom of this page for assistance with your radio frequency (RF) needs.</t>
  </si>
  <si>
    <t>Calculators available include Power, VSWR &amp; Return Loss, Frequency &amp; Wavelength,</t>
  </si>
  <si>
    <t>Cable Length (m or ft)</t>
  </si>
  <si>
    <t>m or ft</t>
  </si>
  <si>
    <t>Cable Loss</t>
  </si>
  <si>
    <t>Transmission Cable Insertion Loss</t>
  </si>
  <si>
    <t>Loss per Connector</t>
  </si>
  <si>
    <t>Number of Connectors</t>
  </si>
  <si>
    <t>Connector Loss</t>
  </si>
  <si>
    <t>Lightning Protection Loss</t>
  </si>
  <si>
    <t>VSWR/Power Monitor Loss</t>
  </si>
  <si>
    <t>Loss of Combiner, Duplexer, Filter, etc.</t>
  </si>
  <si>
    <t>Two Connectors per Pair</t>
  </si>
  <si>
    <t>Connector Insertion Loss</t>
  </si>
  <si>
    <t>Lightning Protection Insertion Loss</t>
  </si>
  <si>
    <t>Transmission Cable System Insertion Loss</t>
  </si>
  <si>
    <t>Total Cable System Loss</t>
  </si>
  <si>
    <t>Top Jumper Loss</t>
  </si>
  <si>
    <t>VSWR/Power Monitor Insertion Loss</t>
  </si>
  <si>
    <t>Bottom Jumper Loss/100 m or ft</t>
  </si>
  <si>
    <t>Cable Loss/100 m or ft</t>
  </si>
  <si>
    <t>Top Jumper Loss/100 m or ft</t>
  </si>
  <si>
    <t>Top Jumper Length (m or ft)</t>
  </si>
  <si>
    <t>Bottom Jumper Length (m or ft)</t>
  </si>
  <si>
    <t>Bottom Jumper Loss</t>
  </si>
  <si>
    <t>Top/Antenna Jumper Cable Insertion Loss</t>
  </si>
  <si>
    <t>Bottom/Tx Jumper Cable Insertion Loss</t>
  </si>
  <si>
    <t>Cable loss is the total insertion loss of your transmission cable system.</t>
  </si>
  <si>
    <t>This typically includes insertion loss of the transmission cable, jumper cables, connectors and lightning protection.</t>
  </si>
  <si>
    <t>Other Component Loss</t>
  </si>
  <si>
    <t>Cable Loss Calculator</t>
  </si>
  <si>
    <t>Loss of other components (e.g. VSWR/power monitor, duplexer, combiner or filter) may also come into play.</t>
  </si>
  <si>
    <t>Masking Effect Calculator</t>
  </si>
  <si>
    <t>Loss per 100 Meters or Feet at Frequency</t>
  </si>
  <si>
    <t>Length in Meters or Feet</t>
  </si>
  <si>
    <t>Enter cable, jumper, connector and other loss parameters to determine transmission cable system insertion loss.</t>
  </si>
  <si>
    <t>Signal Level</t>
  </si>
  <si>
    <t>Frequency</t>
  </si>
  <si>
    <t>MHz</t>
  </si>
  <si>
    <t>dBuV</t>
  </si>
  <si>
    <t>Antenna Factor</t>
  </si>
  <si>
    <t>Field Strength Calculator</t>
  </si>
  <si>
    <t>dBuV/m</t>
  </si>
  <si>
    <t>Field Strength</t>
  </si>
  <si>
    <t>uV/m</t>
  </si>
  <si>
    <t>V/m</t>
  </si>
  <si>
    <t>mV/m</t>
  </si>
  <si>
    <t>Antenna Factor (dB) = 20 Log (Frequency (MHz)) - Antenna Gain (dB) -29.8</t>
  </si>
  <si>
    <t>Signal Level (dBuV) = Signal Level (dBm) + 107 dB</t>
  </si>
  <si>
    <t>Signal Level (dBuV/m) = Signal Level (dBuV) + Antenna Factor (dB)</t>
  </si>
  <si>
    <t>1 V/m = 1,000 mV/m = 1,000,000 uVm</t>
  </si>
  <si>
    <t>Field Strength (uV/m) = 10 ^ (Signal Level (dBuV/m) / 20)</t>
  </si>
  <si>
    <t>Distance</t>
  </si>
  <si>
    <t>Miles</t>
  </si>
  <si>
    <t>Attenuation, Directivity, Cable Loss, Masking Effect,</t>
  </si>
  <si>
    <t>Bird Electronic Corporation   www.bird-electronic.com   (866) 695-4569   2/6/06   JN</t>
  </si>
  <si>
    <t>Kilometers</t>
  </si>
  <si>
    <t>1 Mile = 1.6093 Kilometers</t>
  </si>
  <si>
    <t>Field Strength, Free Space Loss and Metric Conversions.</t>
  </si>
  <si>
    <t>Free Space Loss Calculator</t>
  </si>
  <si>
    <t>Enter frequency and distance to determine free space loss.</t>
  </si>
  <si>
    <t>Free Space Loss is the power loss of a</t>
  </si>
  <si>
    <t>radio signal as it travels through free space.</t>
  </si>
  <si>
    <t>Free Space Loss</t>
  </si>
  <si>
    <t>Free Space Loss (dB) = 36.6 + 20 x Log (Frequency (MHz) x Distance (Miles))</t>
  </si>
  <si>
    <t>Losses due to sources such as earth, trees,</t>
  </si>
  <si>
    <t>antenna gains are not considered.</t>
  </si>
  <si>
    <t xml:space="preserve">buildings, cables and connectors as well as </t>
  </si>
  <si>
    <t>The field strength of the signal emitted</t>
  </si>
  <si>
    <t>in units of microvolts per meter (uV/m).</t>
  </si>
  <si>
    <t>by a radio antenna is usually expressed</t>
  </si>
  <si>
    <t>Receive Antenna Gain</t>
  </si>
  <si>
    <t>Signal Power Level</t>
  </si>
  <si>
    <t>Enter signal power level, frequency and antenna gain to determine field strength.</t>
  </si>
  <si>
    <t>This may be calculated if the signal power</t>
  </si>
  <si>
    <t>level (dBm), frequency and the gain of the</t>
  </si>
  <si>
    <t>receive antenna are known.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</si>
</sst>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#,##0.000000000000"/>
    <numFmt numFmtId="168" formatCode="#,##0.000000000"/>
    <numFmt numFmtId="169" formatCode="#,##0.000000"/>
    <numFmt numFmtId="170" formatCode="0.000"/>
    <numFmt numFmtId="171" formatCode="#,##0.000"/>
    <numFmt numFmtId="172" formatCode="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color indexed="9"/>
      <name val="Arial Black"/>
      <family val="2"/>
    </font>
    <font>
      <b/>
      <sz val="14"/>
      <color indexed="9"/>
      <name val="Arial Black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1" fontId="0" fillId="0" borderId="1" xfId="0" applyNumberFormat="1" applyFont="1" applyFill="1" applyBorder="1" applyAlignment="1" applyProtection="1">
      <alignment/>
      <protection hidden="1" locked="0"/>
    </xf>
    <xf numFmtId="171" fontId="0" fillId="0" borderId="1" xfId="0" applyNumberFormat="1" applyFill="1" applyBorder="1" applyAlignment="1" applyProtection="1">
      <alignment/>
      <protection hidden="1" locked="0"/>
    </xf>
    <xf numFmtId="2" fontId="0" fillId="0" borderId="2" xfId="0" applyNumberFormat="1" applyFill="1" applyBorder="1" applyAlignment="1" applyProtection="1">
      <alignment/>
      <protection hidden="1" locked="0"/>
    </xf>
    <xf numFmtId="2" fontId="0" fillId="0" borderId="3" xfId="0" applyNumberFormat="1" applyFill="1" applyBorder="1" applyAlignment="1" applyProtection="1">
      <alignment/>
      <protection hidden="1" locked="0"/>
    </xf>
    <xf numFmtId="2" fontId="0" fillId="0" borderId="1" xfId="0" applyNumberFormat="1" applyFont="1" applyFill="1" applyBorder="1" applyAlignment="1" applyProtection="1">
      <alignment/>
      <protection hidden="1" locked="0"/>
    </xf>
    <xf numFmtId="2" fontId="0" fillId="0" borderId="2" xfId="0" applyNumberFormat="1" applyFont="1" applyFill="1" applyBorder="1" applyAlignment="1" applyProtection="1">
      <alignment/>
      <protection hidden="1" locked="0"/>
    </xf>
    <xf numFmtId="2" fontId="0" fillId="0" borderId="3" xfId="0" applyNumberFormat="1" applyFont="1" applyFill="1" applyBorder="1" applyAlignment="1" applyProtection="1">
      <alignment/>
      <protection hidden="1" locked="0"/>
    </xf>
    <xf numFmtId="0" fontId="0" fillId="2" borderId="0" xfId="0" applyFill="1" applyAlignment="1" applyProtection="1">
      <alignment/>
      <protection hidden="1"/>
    </xf>
    <xf numFmtId="0" fontId="7" fillId="2" borderId="0" xfId="20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2" fontId="0" fillId="2" borderId="0" xfId="0" applyNumberFormat="1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2" fontId="1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7" fillId="2" borderId="0" xfId="20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171" fontId="0" fillId="2" borderId="0" xfId="0" applyNumberForma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 locked="0"/>
    </xf>
    <xf numFmtId="171" fontId="0" fillId="2" borderId="0" xfId="0" applyNumberFormat="1" applyFont="1" applyFill="1" applyBorder="1" applyAlignment="1" applyProtection="1">
      <alignment/>
      <protection hidden="1"/>
    </xf>
    <xf numFmtId="171" fontId="2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168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 locked="0"/>
    </xf>
    <xf numFmtId="2" fontId="0" fillId="2" borderId="0" xfId="0" applyNumberFormat="1" applyFill="1" applyAlignment="1" applyProtection="1">
      <alignment/>
      <protection hidden="1"/>
    </xf>
    <xf numFmtId="0" fontId="0" fillId="2" borderId="0" xfId="0" applyFill="1" applyAlignment="1">
      <alignment/>
    </xf>
    <xf numFmtId="0" fontId="6" fillId="2" borderId="0" xfId="0" applyFont="1" applyFill="1" applyAlignment="1" applyProtection="1">
      <alignment horizontal="center"/>
      <protection hidden="1"/>
    </xf>
    <xf numFmtId="2" fontId="6" fillId="2" borderId="0" xfId="0" applyNumberFormat="1" applyFont="1" applyFill="1" applyAlignment="1" applyProtection="1">
      <alignment/>
      <protection hidden="1"/>
    </xf>
    <xf numFmtId="170" fontId="0" fillId="0" borderId="4" xfId="0" applyNumberFormat="1" applyFill="1" applyBorder="1" applyAlignment="1" applyProtection="1">
      <alignment/>
      <protection hidden="1" locked="0"/>
    </xf>
    <xf numFmtId="170" fontId="0" fillId="0" borderId="3" xfId="0" applyNumberFormat="1" applyFill="1" applyBorder="1" applyAlignment="1" applyProtection="1">
      <alignment/>
      <protection hidden="1" locked="0"/>
    </xf>
    <xf numFmtId="170" fontId="0" fillId="0" borderId="2" xfId="0" applyNumberFormat="1" applyFill="1" applyBorder="1" applyAlignment="1" applyProtection="1">
      <alignment/>
      <protection hidden="1" locked="0"/>
    </xf>
    <xf numFmtId="170" fontId="0" fillId="2" borderId="0" xfId="0" applyNumberFormat="1" applyFon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0" borderId="4" xfId="0" applyNumberFormat="1" applyFill="1" applyBorder="1" applyAlignment="1" applyProtection="1">
      <alignment/>
      <protection hidden="1" locked="0"/>
    </xf>
    <xf numFmtId="3" fontId="0" fillId="2" borderId="0" xfId="0" applyNumberFormat="1" applyFont="1" applyFill="1" applyAlignment="1" applyProtection="1">
      <alignment/>
      <protection hidden="1"/>
    </xf>
    <xf numFmtId="170" fontId="0" fillId="2" borderId="0" xfId="0" applyNumberFormat="1" applyFont="1" applyFill="1" applyAlignment="1" applyProtection="1">
      <alignment horizontal="right"/>
      <protection hidden="1"/>
    </xf>
    <xf numFmtId="170" fontId="0" fillId="0" borderId="1" xfId="0" applyNumberFormat="1" applyFont="1" applyFill="1" applyBorder="1" applyAlignment="1" applyProtection="1">
      <alignment/>
      <protection hidden="1" locked="0"/>
    </xf>
    <xf numFmtId="170" fontId="0" fillId="2" borderId="0" xfId="0" applyNumberFormat="1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2" fontId="0" fillId="2" borderId="0" xfId="0" applyNumberFormat="1" applyFont="1" applyFill="1" applyAlignment="1" applyProtection="1">
      <alignment horizontal="right"/>
      <protection hidden="1"/>
    </xf>
    <xf numFmtId="1" fontId="0" fillId="0" borderId="3" xfId="0" applyNumberFormat="1" applyFill="1" applyBorder="1" applyAlignment="1" applyProtection="1">
      <alignment/>
      <protection hidden="1" locked="0"/>
    </xf>
    <xf numFmtId="0" fontId="6" fillId="2" borderId="0" xfId="0" applyFont="1" applyFill="1" applyAlignment="1">
      <alignment horizontal="center"/>
    </xf>
    <xf numFmtId="171" fontId="0" fillId="0" borderId="2" xfId="0" applyNumberFormat="1" applyFill="1" applyBorder="1" applyAlignment="1" applyProtection="1">
      <alignment/>
      <protection hidden="1" locked="0"/>
    </xf>
    <xf numFmtId="171" fontId="0" fillId="0" borderId="4" xfId="0" applyNumberFormat="1" applyFill="1" applyBorder="1" applyAlignment="1" applyProtection="1">
      <alignment/>
      <protection hidden="1" locked="0"/>
    </xf>
    <xf numFmtId="171" fontId="0" fillId="0" borderId="3" xfId="0" applyNumberFormat="1" applyFill="1" applyBorder="1" applyAlignment="1" applyProtection="1">
      <alignment/>
      <protection hidden="1" locked="0"/>
    </xf>
    <xf numFmtId="0" fontId="6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581025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666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0</xdr:colOff>
      <xdr:row>2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247650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381000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38100"/>
          <a:ext cx="714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C1:E2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0.85546875" style="8" customWidth="1"/>
    <col min="2" max="2" width="5.28125" style="8" customWidth="1"/>
    <col min="3" max="4" width="31.7109375" style="19" customWidth="1"/>
    <col min="5" max="5" width="31.7109375" style="8" customWidth="1"/>
    <col min="6" max="6" width="6.7109375" style="8" customWidth="1"/>
    <col min="7" max="7" width="10.7109375" style="8" customWidth="1"/>
    <col min="8" max="9" width="5.7109375" style="8" customWidth="1"/>
    <col min="10" max="16384" width="9.140625" style="8" customWidth="1"/>
  </cols>
  <sheetData>
    <row r="1" ht="12.75">
      <c r="D1" s="37" t="s">
        <v>266</v>
      </c>
    </row>
    <row r="2" ht="12.75">
      <c r="D2" s="37" t="s">
        <v>210</v>
      </c>
    </row>
    <row r="3" ht="12.75"/>
    <row r="4" ht="12.75"/>
    <row r="6" ht="22.5">
      <c r="D6" s="49" t="s">
        <v>201</v>
      </c>
    </row>
    <row r="7" spans="3:5" ht="12.75">
      <c r="C7" s="20"/>
      <c r="D7" s="37"/>
      <c r="E7" s="20"/>
    </row>
    <row r="8" ht="12.75">
      <c r="D8" s="50" t="s">
        <v>211</v>
      </c>
    </row>
    <row r="9" ht="12.75">
      <c r="D9" s="37"/>
    </row>
    <row r="10" ht="12.75">
      <c r="D10" s="37"/>
    </row>
    <row r="11" ht="12.75">
      <c r="D11" s="37"/>
    </row>
    <row r="12" spans="3:5" ht="12.75">
      <c r="C12" s="20"/>
      <c r="D12" s="37" t="s">
        <v>212</v>
      </c>
      <c r="E12" s="20"/>
    </row>
    <row r="13" spans="3:5" ht="12.75">
      <c r="C13" s="20"/>
      <c r="D13" s="37"/>
      <c r="E13" s="20"/>
    </row>
    <row r="14" spans="3:5" ht="12.75">
      <c r="C14" s="20"/>
      <c r="D14" s="37" t="s">
        <v>265</v>
      </c>
      <c r="E14" s="20"/>
    </row>
    <row r="15" spans="3:5" ht="12.75">
      <c r="C15" s="20"/>
      <c r="D15" s="8"/>
      <c r="E15" s="19"/>
    </row>
    <row r="16" ht="12.75">
      <c r="D16" s="37" t="s">
        <v>269</v>
      </c>
    </row>
    <row r="17" ht="12.75">
      <c r="D17" s="20"/>
    </row>
    <row r="18" ht="12.75">
      <c r="D18" s="20"/>
    </row>
    <row r="19" ht="12.75">
      <c r="D19" s="20"/>
    </row>
    <row r="20" ht="12.75">
      <c r="D20" s="20"/>
    </row>
    <row r="21" ht="12.75">
      <c r="D21" s="20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K18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18.7109375" style="12" customWidth="1"/>
    <col min="4" max="4" width="10.7109375" style="8" customWidth="1"/>
    <col min="5" max="5" width="3.7109375" style="8" customWidth="1"/>
    <col min="6" max="6" width="11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270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271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248</v>
      </c>
      <c r="D7" s="54">
        <v>800</v>
      </c>
      <c r="E7" s="8" t="s">
        <v>249</v>
      </c>
      <c r="G7" s="21" t="s">
        <v>272</v>
      </c>
      <c r="K7" s="16"/>
    </row>
    <row r="8" spans="2:11" ht="13.5" thickBot="1">
      <c r="B8" s="17" t="s">
        <v>0</v>
      </c>
      <c r="C8" s="12" t="s">
        <v>263</v>
      </c>
      <c r="D8" s="56">
        <v>1</v>
      </c>
      <c r="E8" s="8" t="s">
        <v>264</v>
      </c>
      <c r="G8" s="21" t="s">
        <v>273</v>
      </c>
      <c r="K8" s="16"/>
    </row>
    <row r="9" spans="2:5" ht="12.75">
      <c r="B9" s="12" t="s">
        <v>1</v>
      </c>
      <c r="C9" s="12" t="s">
        <v>274</v>
      </c>
      <c r="D9" s="25">
        <f>36.6+20*LOG(D7*D8)</f>
        <v>94.66179973983887</v>
      </c>
      <c r="E9" s="8" t="s">
        <v>8</v>
      </c>
    </row>
    <row r="10" ht="12.75">
      <c r="G10" s="21" t="s">
        <v>276</v>
      </c>
    </row>
    <row r="11" ht="13.5" thickBot="1">
      <c r="G11" s="21" t="s">
        <v>278</v>
      </c>
    </row>
    <row r="12" spans="2:11" ht="12.75">
      <c r="B12" s="17" t="s">
        <v>0</v>
      </c>
      <c r="C12" s="12" t="s">
        <v>248</v>
      </c>
      <c r="D12" s="54">
        <v>800</v>
      </c>
      <c r="E12" s="8" t="s">
        <v>249</v>
      </c>
      <c r="G12" s="21" t="s">
        <v>277</v>
      </c>
      <c r="K12" s="16"/>
    </row>
    <row r="13" spans="2:11" ht="13.5" thickBot="1">
      <c r="B13" s="17" t="s">
        <v>0</v>
      </c>
      <c r="C13" s="12" t="s">
        <v>263</v>
      </c>
      <c r="D13" s="56">
        <v>1</v>
      </c>
      <c r="E13" s="8" t="s">
        <v>267</v>
      </c>
      <c r="G13" s="8" t="s">
        <v>16</v>
      </c>
      <c r="K13" s="16"/>
    </row>
    <row r="14" spans="2:5" ht="12.75">
      <c r="B14" s="12" t="s">
        <v>1</v>
      </c>
      <c r="C14" s="12" t="s">
        <v>274</v>
      </c>
      <c r="D14" s="25">
        <f>36.6+20*LOG(D12*D13/1.6093)</f>
        <v>90.52905951416815</v>
      </c>
      <c r="E14" s="8" t="s">
        <v>8</v>
      </c>
    </row>
    <row r="17" spans="2:9" ht="12.75">
      <c r="B17" s="57" t="s">
        <v>275</v>
      </c>
      <c r="C17" s="57"/>
      <c r="D17" s="57"/>
      <c r="E17" s="57"/>
      <c r="F17" s="57"/>
      <c r="G17" s="57"/>
      <c r="H17" s="57"/>
      <c r="I17" s="57"/>
    </row>
    <row r="18" spans="2:9" ht="12.75">
      <c r="B18" s="57" t="s">
        <v>268</v>
      </c>
      <c r="C18" s="57"/>
      <c r="D18" s="57"/>
      <c r="E18" s="57"/>
      <c r="F18" s="57"/>
      <c r="G18" s="57"/>
      <c r="H18" s="57"/>
      <c r="I18" s="57"/>
    </row>
  </sheetData>
  <sheetProtection sheet="1" objects="1" scenarios="1"/>
  <mergeCells count="5">
    <mergeCell ref="B17:I17"/>
    <mergeCell ref="B18:I18"/>
    <mergeCell ref="B1:I1"/>
    <mergeCell ref="B4:I4"/>
    <mergeCell ref="B3:I3"/>
  </mergeCells>
  <dataValidations count="1">
    <dataValidation type="decimal" operator="greaterThanOrEqual" allowBlank="1" showInputMessage="1" showErrorMessage="1" sqref="D7:D8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K48"/>
  <sheetViews>
    <sheetView workbookViewId="0" topLeftCell="A1">
      <selection activeCell="A23" sqref="A23"/>
    </sheetView>
  </sheetViews>
  <sheetFormatPr defaultColWidth="9.140625" defaultRowHeight="12.75"/>
  <cols>
    <col min="1" max="2" width="5.7109375" style="8" customWidth="1"/>
    <col min="3" max="3" width="15.7109375" style="25" customWidth="1"/>
    <col min="4" max="4" width="15.8515625" style="8" customWidth="1"/>
    <col min="5" max="7" width="5.7109375" style="8" customWidth="1"/>
    <col min="8" max="8" width="15.7109375" style="25" customWidth="1"/>
    <col min="9" max="9" width="15.8515625" style="8" customWidth="1"/>
    <col min="10" max="10" width="9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71</v>
      </c>
      <c r="C3" s="61"/>
      <c r="D3" s="61"/>
      <c r="E3" s="61"/>
      <c r="F3" s="61"/>
      <c r="G3" s="61"/>
      <c r="H3" s="61"/>
      <c r="I3" s="61"/>
      <c r="J3" s="61"/>
      <c r="K3" s="30"/>
    </row>
    <row r="4" spans="1:11" ht="12.75">
      <c r="A4" s="36"/>
      <c r="B4" s="57" t="s">
        <v>197</v>
      </c>
      <c r="C4" s="57"/>
      <c r="D4" s="57"/>
      <c r="E4" s="57"/>
      <c r="F4" s="57"/>
      <c r="G4" s="57"/>
      <c r="H4" s="57"/>
      <c r="I4" s="57"/>
      <c r="J4" s="57"/>
      <c r="K4" s="10"/>
    </row>
    <row r="5" spans="1:11" ht="12.75">
      <c r="A5" s="9"/>
      <c r="B5" s="37"/>
      <c r="C5" s="37"/>
      <c r="D5" s="37"/>
      <c r="E5" s="37"/>
      <c r="F5" s="37"/>
      <c r="G5" s="37"/>
      <c r="H5" s="37"/>
      <c r="I5" s="37"/>
      <c r="J5" s="37"/>
      <c r="K5" s="10"/>
    </row>
    <row r="6" spans="1:11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63" t="s">
        <v>47</v>
      </c>
      <c r="C7" s="63"/>
      <c r="D7" s="63"/>
      <c r="E7" s="10"/>
      <c r="F7" s="10"/>
      <c r="G7" s="63" t="s">
        <v>68</v>
      </c>
      <c r="H7" s="63"/>
      <c r="I7" s="63"/>
      <c r="J7" s="10"/>
      <c r="K7" s="10"/>
    </row>
    <row r="8" spans="1:11" ht="13.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2:9" ht="13.5" thickBot="1">
      <c r="B9" s="26" t="s">
        <v>0</v>
      </c>
      <c r="C9" s="1">
        <v>1</v>
      </c>
      <c r="D9" s="27">
        <v>7</v>
      </c>
      <c r="G9" s="26" t="s">
        <v>0</v>
      </c>
      <c r="H9" s="1">
        <v>1</v>
      </c>
      <c r="I9" s="27">
        <v>4</v>
      </c>
    </row>
    <row r="10" spans="2:9" ht="12.75">
      <c r="B10" s="11" t="s">
        <v>50</v>
      </c>
      <c r="C10" s="28">
        <f>C14*100</f>
        <v>160934.4</v>
      </c>
      <c r="D10" s="8" t="s">
        <v>37</v>
      </c>
      <c r="G10" s="11" t="s">
        <v>50</v>
      </c>
      <c r="H10" s="28">
        <f>H13*1000</f>
        <v>1000</v>
      </c>
      <c r="I10" s="8" t="s">
        <v>58</v>
      </c>
    </row>
    <row r="11" spans="2:9" ht="12.75">
      <c r="B11" s="11" t="s">
        <v>50</v>
      </c>
      <c r="C11" s="28">
        <f>C14*39.3701</f>
        <v>63360.0342144</v>
      </c>
      <c r="D11" s="8" t="s">
        <v>39</v>
      </c>
      <c r="G11" s="11" t="s">
        <v>50</v>
      </c>
      <c r="H11" s="28">
        <f>H13*35.274</f>
        <v>35.274</v>
      </c>
      <c r="I11" s="8" t="s">
        <v>57</v>
      </c>
    </row>
    <row r="12" spans="2:9" ht="12.75">
      <c r="B12" s="11" t="s">
        <v>50</v>
      </c>
      <c r="C12" s="28">
        <f>C14*3.2808</f>
        <v>5279.9357952</v>
      </c>
      <c r="D12" s="8" t="s">
        <v>38</v>
      </c>
      <c r="E12" s="8" t="s">
        <v>16</v>
      </c>
      <c r="G12" s="11" t="s">
        <v>50</v>
      </c>
      <c r="H12" s="28">
        <f>H13/0.453592</f>
        <v>2.2046244201837775</v>
      </c>
      <c r="I12" s="8" t="s">
        <v>56</v>
      </c>
    </row>
    <row r="13" spans="2:9" s="12" customFormat="1" ht="12.75">
      <c r="B13" s="11" t="s">
        <v>50</v>
      </c>
      <c r="C13" s="28">
        <f>C14*1.0936</f>
        <v>1759.9785984</v>
      </c>
      <c r="D13" s="8" t="s">
        <v>51</v>
      </c>
      <c r="G13" s="11" t="s">
        <v>50</v>
      </c>
      <c r="H13" s="28">
        <f>IF(I9=1,H9/1000,IF(I9=2,H9/35.274,IF(I9=3,H9*0.453592,IF(I9=4,H9,IF(I9=5,H9*45.3592,IF(I9=6,H9*907.1847,IF(I9=7,H9*1000)))))))</f>
        <v>1</v>
      </c>
      <c r="I13" s="8" t="s">
        <v>55</v>
      </c>
    </row>
    <row r="14" spans="2:9" ht="12.75">
      <c r="B14" s="11" t="s">
        <v>50</v>
      </c>
      <c r="C14" s="28">
        <f>IF(D9=1,C9/100,IF(D9=2,C9/39.3701,IF(D9=3,C9/3.2808,IF(D9=4,C9/1.0936,IF(D9=5,C9,IF(D9=6,C9*1000,IF(D9=7,C9*1609.344)))))))</f>
        <v>1609.344</v>
      </c>
      <c r="D14" s="8" t="s">
        <v>36</v>
      </c>
      <c r="G14" s="11" t="s">
        <v>50</v>
      </c>
      <c r="H14" s="28">
        <f>H13/45.3592</f>
        <v>0.022046244201837775</v>
      </c>
      <c r="I14" s="8" t="s">
        <v>81</v>
      </c>
    </row>
    <row r="15" spans="2:9" ht="12.75">
      <c r="B15" s="11" t="s">
        <v>50</v>
      </c>
      <c r="C15" s="28">
        <f>C14/1000</f>
        <v>1.609344</v>
      </c>
      <c r="D15" s="8" t="s">
        <v>53</v>
      </c>
      <c r="G15" s="11" t="s">
        <v>50</v>
      </c>
      <c r="H15" s="28">
        <f>H13/907.1847</f>
        <v>0.001102311359527999</v>
      </c>
      <c r="I15" s="8" t="s">
        <v>82</v>
      </c>
    </row>
    <row r="16" spans="2:9" ht="12.75">
      <c r="B16" s="11" t="s">
        <v>50</v>
      </c>
      <c r="C16" s="28">
        <f>C14/1609.344</f>
        <v>1</v>
      </c>
      <c r="D16" s="8" t="s">
        <v>52</v>
      </c>
      <c r="G16" s="11" t="s">
        <v>50</v>
      </c>
      <c r="H16" s="28">
        <f>H13/1000</f>
        <v>0.001</v>
      </c>
      <c r="I16" s="8" t="s">
        <v>80</v>
      </c>
    </row>
    <row r="17" spans="2:3" ht="12.75">
      <c r="B17" s="11"/>
      <c r="C17" s="28"/>
    </row>
    <row r="18" spans="1:10" ht="12.75">
      <c r="A18" s="57" t="s">
        <v>69</v>
      </c>
      <c r="B18" s="57"/>
      <c r="C18" s="57"/>
      <c r="D18" s="57"/>
      <c r="E18" s="57"/>
      <c r="G18" s="57" t="s">
        <v>83</v>
      </c>
      <c r="H18" s="57"/>
      <c r="I18" s="57"/>
      <c r="J18" s="57"/>
    </row>
    <row r="19" spans="1:10" ht="12.75">
      <c r="A19" s="37"/>
      <c r="B19" s="37"/>
      <c r="C19" s="37"/>
      <c r="D19" s="37"/>
      <c r="E19" s="37"/>
      <c r="G19" s="37"/>
      <c r="H19" s="37"/>
      <c r="I19" s="37"/>
      <c r="J19" s="37"/>
    </row>
    <row r="20" ht="12.75">
      <c r="H20" s="8"/>
    </row>
    <row r="21" spans="2:10" ht="12.75">
      <c r="B21" s="63" t="s">
        <v>48</v>
      </c>
      <c r="C21" s="63"/>
      <c r="D21" s="63"/>
      <c r="G21" s="63" t="s">
        <v>54</v>
      </c>
      <c r="H21" s="63"/>
      <c r="I21" s="63"/>
      <c r="J21" s="10"/>
    </row>
    <row r="22" spans="7:10" ht="13.5" thickBot="1">
      <c r="G22" s="10"/>
      <c r="H22" s="10"/>
      <c r="I22" s="10"/>
      <c r="J22" s="10"/>
    </row>
    <row r="23" spans="2:9" ht="13.5" thickBot="1">
      <c r="B23" s="26" t="s">
        <v>0</v>
      </c>
      <c r="C23" s="1">
        <v>1</v>
      </c>
      <c r="D23" s="27">
        <v>4</v>
      </c>
      <c r="G23" s="26" t="s">
        <v>0</v>
      </c>
      <c r="H23" s="1">
        <v>0</v>
      </c>
      <c r="I23" s="27">
        <v>2</v>
      </c>
    </row>
    <row r="24" spans="2:9" ht="12.75">
      <c r="B24" s="11" t="s">
        <v>50</v>
      </c>
      <c r="C24" s="28">
        <f>C27*POWER(100,2)</f>
        <v>10000</v>
      </c>
      <c r="D24" s="8" t="s">
        <v>59</v>
      </c>
      <c r="G24" s="11" t="s">
        <v>50</v>
      </c>
      <c r="H24" s="28">
        <f>IF(I23=1,H23,IF(I23=2,H23*9/5+32,IF(I23=3,H23-459.69,IF(I23=4,(H23-273.15)*9/5+32))))</f>
        <v>32</v>
      </c>
      <c r="I24" s="8" t="s">
        <v>91</v>
      </c>
    </row>
    <row r="25" spans="2:9" ht="12.75">
      <c r="B25" s="11" t="s">
        <v>50</v>
      </c>
      <c r="C25" s="28">
        <f>C27*POWER(39.3701,2)</f>
        <v>1550.0047740100001</v>
      </c>
      <c r="D25" s="8" t="s">
        <v>60</v>
      </c>
      <c r="G25" s="11" t="s">
        <v>50</v>
      </c>
      <c r="H25" s="28">
        <f>5/9*(H24-32)</f>
        <v>0</v>
      </c>
      <c r="I25" s="8" t="s">
        <v>92</v>
      </c>
    </row>
    <row r="26" spans="2:9" ht="12.75">
      <c r="B26" s="11" t="s">
        <v>50</v>
      </c>
      <c r="C26" s="28">
        <f>C27*POWER(3.2808,2)</f>
        <v>10.763648640000001</v>
      </c>
      <c r="D26" s="8" t="s">
        <v>67</v>
      </c>
      <c r="G26" s="11" t="s">
        <v>50</v>
      </c>
      <c r="H26" s="28">
        <f>H24+459.69</f>
        <v>491.69</v>
      </c>
      <c r="I26" s="8" t="s">
        <v>93</v>
      </c>
    </row>
    <row r="27" spans="2:10" ht="12.75">
      <c r="B27" s="11" t="s">
        <v>50</v>
      </c>
      <c r="C27" s="28">
        <f>IF(D23=1,C23/POWER(100,2),IF(D23=2,C23/POWER(39.3701,2),IF(D23=3,C23/POWER(3.2808,2),IF(D23=4,C23,IF(D23=5,C23*POWER(63.615,2),IF(D23=6,C23*POWER(1000,2),IF(D23=7,C23*POWER(1609.344,2))))))))</f>
        <v>1</v>
      </c>
      <c r="D27" s="8" t="s">
        <v>61</v>
      </c>
      <c r="G27" s="11" t="s">
        <v>50</v>
      </c>
      <c r="H27" s="28">
        <f>5/9*(H24-32)+273.15</f>
        <v>273.15</v>
      </c>
      <c r="I27" s="8" t="s">
        <v>94</v>
      </c>
      <c r="J27" s="12"/>
    </row>
    <row r="28" spans="2:8" ht="12.75">
      <c r="B28" s="11" t="s">
        <v>50</v>
      </c>
      <c r="C28" s="28">
        <f>C27/POWER(63.615,2)</f>
        <v>0.0002471046607898877</v>
      </c>
      <c r="D28" s="8" t="s">
        <v>75</v>
      </c>
      <c r="H28" s="8"/>
    </row>
    <row r="29" spans="2:10" ht="12.75">
      <c r="B29" s="11" t="s">
        <v>50</v>
      </c>
      <c r="C29" s="28">
        <f>C27/POWER(1000,2)</f>
        <v>1E-06</v>
      </c>
      <c r="D29" s="8" t="s">
        <v>63</v>
      </c>
      <c r="G29" s="57" t="s">
        <v>72</v>
      </c>
      <c r="H29" s="57"/>
      <c r="I29" s="57"/>
      <c r="J29" s="19"/>
    </row>
    <row r="30" spans="2:10" ht="12.75">
      <c r="B30" s="11" t="s">
        <v>50</v>
      </c>
      <c r="C30" s="28">
        <f>C27/POWER(1609.344,2)</f>
        <v>3.861021585424458E-07</v>
      </c>
      <c r="D30" s="8" t="s">
        <v>62</v>
      </c>
      <c r="F30" s="19"/>
      <c r="G30" s="57" t="s">
        <v>70</v>
      </c>
      <c r="H30" s="57"/>
      <c r="I30" s="57"/>
      <c r="J30" s="19"/>
    </row>
    <row r="31" spans="6:8" ht="12.75">
      <c r="F31" s="19"/>
      <c r="H31" s="8"/>
    </row>
    <row r="32" spans="1:10" ht="12.75">
      <c r="A32" s="57" t="s">
        <v>73</v>
      </c>
      <c r="B32" s="57"/>
      <c r="C32" s="57"/>
      <c r="D32" s="57"/>
      <c r="E32" s="57"/>
      <c r="F32" s="19"/>
      <c r="G32" s="19"/>
      <c r="H32" s="19"/>
      <c r="I32" s="19"/>
      <c r="J32" s="19"/>
    </row>
    <row r="33" spans="1:10" ht="12.75">
      <c r="A33" s="57" t="s">
        <v>79</v>
      </c>
      <c r="B33" s="57"/>
      <c r="C33" s="57"/>
      <c r="D33" s="57"/>
      <c r="E33" s="57"/>
      <c r="F33" s="19"/>
      <c r="G33" s="19"/>
      <c r="H33" s="19"/>
      <c r="I33" s="19"/>
      <c r="J33" s="19"/>
    </row>
    <row r="34" spans="1:10" ht="12.7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6:10" ht="12.75">
      <c r="F35" s="19"/>
      <c r="G35" s="19"/>
      <c r="H35" s="19"/>
      <c r="J35" s="19"/>
    </row>
    <row r="36" spans="2:10" ht="12.75">
      <c r="B36" s="63" t="s">
        <v>49</v>
      </c>
      <c r="C36" s="63"/>
      <c r="D36" s="63"/>
      <c r="F36" s="19"/>
      <c r="G36" s="19"/>
      <c r="H36" s="19"/>
      <c r="J36" s="19"/>
    </row>
    <row r="37" spans="6:10" ht="13.5" thickBot="1">
      <c r="F37" s="19"/>
      <c r="G37" s="19"/>
      <c r="H37" s="19"/>
      <c r="J37" s="19"/>
    </row>
    <row r="38" spans="2:4" ht="13.5" thickBot="1">
      <c r="B38" s="26" t="s">
        <v>0</v>
      </c>
      <c r="C38" s="1">
        <v>2</v>
      </c>
      <c r="D38" s="27">
        <v>4</v>
      </c>
    </row>
    <row r="39" spans="2:4" ht="12.75">
      <c r="B39" s="11" t="s">
        <v>50</v>
      </c>
      <c r="C39" s="28">
        <f>C42*1000</f>
        <v>2000</v>
      </c>
      <c r="D39" s="8" t="s">
        <v>76</v>
      </c>
    </row>
    <row r="40" spans="2:4" ht="12.75">
      <c r="B40" s="11" t="s">
        <v>50</v>
      </c>
      <c r="C40" s="28">
        <f>C42*33.814</f>
        <v>67.628</v>
      </c>
      <c r="D40" s="8" t="s">
        <v>66</v>
      </c>
    </row>
    <row r="41" spans="2:4" ht="12.75">
      <c r="B41" s="11" t="s">
        <v>50</v>
      </c>
      <c r="C41" s="28">
        <f>C42*1.0567</f>
        <v>2.1134</v>
      </c>
      <c r="D41" s="8" t="s">
        <v>84</v>
      </c>
    </row>
    <row r="42" spans="2:4" ht="12.75">
      <c r="B42" s="11" t="s">
        <v>50</v>
      </c>
      <c r="C42" s="28">
        <f>IF(D38=1,C38/1000,IF(D38=2,C38/33.814,IF(D38=3,C38/1.0567,IF(D38=4,C38,IF(D38=5,C38*3.7851,IF(D38=6,C38*28.3168,IF(D38=7,C38*1000)))))))</f>
        <v>2</v>
      </c>
      <c r="D42" s="8" t="s">
        <v>77</v>
      </c>
    </row>
    <row r="43" spans="2:4" ht="12.75">
      <c r="B43" s="11" t="s">
        <v>50</v>
      </c>
      <c r="C43" s="25">
        <f>C42/3.7851</f>
        <v>0.5283876251618187</v>
      </c>
      <c r="D43" s="8" t="s">
        <v>78</v>
      </c>
    </row>
    <row r="44" spans="2:4" ht="12.75">
      <c r="B44" s="11" t="s">
        <v>50</v>
      </c>
      <c r="C44" s="28">
        <f>C42/28.3168</f>
        <v>0.07062944965532829</v>
      </c>
      <c r="D44" s="8" t="s">
        <v>64</v>
      </c>
    </row>
    <row r="45" spans="2:4" ht="12.75">
      <c r="B45" s="11" t="s">
        <v>50</v>
      </c>
      <c r="C45" s="28">
        <f>C42/1000</f>
        <v>0.002</v>
      </c>
      <c r="D45" s="8" t="s">
        <v>65</v>
      </c>
    </row>
    <row r="47" spans="2:5" ht="12.75">
      <c r="B47" s="57" t="s">
        <v>85</v>
      </c>
      <c r="C47" s="57"/>
      <c r="D47" s="57"/>
      <c r="E47" s="57"/>
    </row>
    <row r="48" spans="2:5" ht="12.75">
      <c r="B48" s="57" t="s">
        <v>74</v>
      </c>
      <c r="C48" s="57"/>
      <c r="D48" s="57"/>
      <c r="E48" s="57"/>
    </row>
  </sheetData>
  <sheetProtection sheet="1" objects="1" scenarios="1"/>
  <mergeCells count="16">
    <mergeCell ref="B47:E47"/>
    <mergeCell ref="B48:E48"/>
    <mergeCell ref="G18:J18"/>
    <mergeCell ref="B7:D7"/>
    <mergeCell ref="G7:I7"/>
    <mergeCell ref="G29:I29"/>
    <mergeCell ref="G30:I30"/>
    <mergeCell ref="B36:D36"/>
    <mergeCell ref="B1:J1"/>
    <mergeCell ref="A33:E33"/>
    <mergeCell ref="A18:E18"/>
    <mergeCell ref="B21:D21"/>
    <mergeCell ref="G21:I21"/>
    <mergeCell ref="A32:E32"/>
    <mergeCell ref="B3:J3"/>
    <mergeCell ref="B4:J4"/>
  </mergeCells>
  <dataValidations count="2">
    <dataValidation type="decimal" operator="greaterThanOrEqual" allowBlank="1" showInputMessage="1" showErrorMessage="1" sqref="C9 H9 C23 C38">
      <formula1>0</formula1>
    </dataValidation>
    <dataValidation type="decimal" operator="greaterThanOrEqual" allowBlank="1" showInputMessage="1" showErrorMessage="1" sqref="H23">
      <formula1>-460</formula1>
    </dataValidation>
  </dataValidations>
  <printOptions/>
  <pageMargins left="0.75" right="0.75" top="1" bottom="1" header="0.5" footer="0.5"/>
  <pageSetup horizontalDpi="600" verticalDpi="600" orientation="landscape" r:id="rId3"/>
  <rowBreaks count="1" manualBreakCount="1">
    <brk id="3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G20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21.7109375" style="8" customWidth="1"/>
    <col min="3" max="3" width="7.7109375" style="8" customWidth="1"/>
    <col min="4" max="4" width="28.7109375" style="8" customWidth="1"/>
    <col min="5" max="5" width="16.28125" style="8" customWidth="1"/>
    <col min="6" max="6" width="21.7109375" style="8" customWidth="1"/>
    <col min="7" max="7" width="5.7109375" style="8" customWidth="1"/>
    <col min="8" max="16384" width="9.140625" style="8" customWidth="1"/>
  </cols>
  <sheetData>
    <row r="1" spans="2:6" ht="12.75">
      <c r="B1" s="57" t="s">
        <v>203</v>
      </c>
      <c r="C1" s="57"/>
      <c r="D1" s="57"/>
      <c r="E1" s="57"/>
      <c r="F1" s="57"/>
    </row>
    <row r="2" spans="2:6" ht="12.75">
      <c r="B2" s="37"/>
      <c r="C2" s="37"/>
      <c r="D2" s="37"/>
      <c r="E2" s="37"/>
      <c r="F2" s="37"/>
    </row>
    <row r="3" spans="2:7" ht="22.5">
      <c r="B3" s="58" t="s">
        <v>21</v>
      </c>
      <c r="C3" s="58"/>
      <c r="D3" s="58"/>
      <c r="E3" s="58"/>
      <c r="F3" s="58"/>
      <c r="G3" s="10"/>
    </row>
    <row r="4" spans="1:7" ht="12.75">
      <c r="A4" s="36"/>
      <c r="B4" s="57" t="s">
        <v>196</v>
      </c>
      <c r="C4" s="57"/>
      <c r="D4" s="57"/>
      <c r="E4" s="57"/>
      <c r="F4" s="57"/>
      <c r="G4" s="10"/>
    </row>
    <row r="5" spans="1:7" ht="12.75">
      <c r="A5" s="9"/>
      <c r="B5" s="37"/>
      <c r="C5" s="37"/>
      <c r="D5" s="37"/>
      <c r="E5" s="37"/>
      <c r="F5" s="37"/>
      <c r="G5" s="10"/>
    </row>
    <row r="6" spans="2:6" ht="13.5" thickBot="1">
      <c r="B6" s="22"/>
      <c r="C6" s="22"/>
      <c r="D6" s="31"/>
      <c r="E6" s="32"/>
      <c r="F6" s="22"/>
    </row>
    <row r="7" spans="2:6" ht="13.5" thickBot="1">
      <c r="B7" s="22"/>
      <c r="C7" s="33" t="s">
        <v>0</v>
      </c>
      <c r="D7" s="2">
        <v>100</v>
      </c>
      <c r="E7" s="34">
        <v>6</v>
      </c>
      <c r="F7" s="22"/>
    </row>
    <row r="8" spans="2:6" ht="12.75">
      <c r="B8" s="22"/>
      <c r="C8" s="23" t="s">
        <v>40</v>
      </c>
      <c r="D8" s="28">
        <f>IF(E7=1,D7,IF(E7=7,10*LOG(D7)+60,IF(E7=6,10*LOG(D7)+30,IF(E7=5,10*LOG(D7),IF(E7=4,10*LOG(D7)-30,IF(E7=3,10*LOG(D7)-60,IF(E7=2,10*LOG(D7)-90)))))))</f>
        <v>50</v>
      </c>
      <c r="E8" s="24" t="s">
        <v>14</v>
      </c>
      <c r="F8" s="24"/>
    </row>
    <row r="9" spans="2:6" ht="12.75">
      <c r="B9" s="22"/>
      <c r="C9" s="23" t="s">
        <v>40</v>
      </c>
      <c r="D9" s="28">
        <f>D13*1000000000000</f>
        <v>100000000000000</v>
      </c>
      <c r="E9" s="23" t="s">
        <v>44</v>
      </c>
      <c r="F9" s="22"/>
    </row>
    <row r="10" spans="2:6" ht="12.75">
      <c r="B10" s="22"/>
      <c r="C10" s="23" t="s">
        <v>40</v>
      </c>
      <c r="D10" s="28">
        <f>D13*1000000000</f>
        <v>100000000000</v>
      </c>
      <c r="E10" s="23" t="s">
        <v>30</v>
      </c>
      <c r="F10" s="22"/>
    </row>
    <row r="11" spans="2:6" ht="12.75">
      <c r="B11" s="22"/>
      <c r="C11" s="23" t="s">
        <v>40</v>
      </c>
      <c r="D11" s="28">
        <f>D13*1000000</f>
        <v>100000000</v>
      </c>
      <c r="E11" s="24" t="s">
        <v>29</v>
      </c>
      <c r="F11" s="22"/>
    </row>
    <row r="12" spans="2:6" ht="12.75">
      <c r="B12" s="22"/>
      <c r="C12" s="23" t="s">
        <v>40</v>
      </c>
      <c r="D12" s="28">
        <f>D13*1000</f>
        <v>100000</v>
      </c>
      <c r="E12" s="23" t="s">
        <v>28</v>
      </c>
      <c r="F12" s="22"/>
    </row>
    <row r="13" spans="2:6" s="12" customFormat="1" ht="12.75">
      <c r="B13" s="24"/>
      <c r="C13" s="23" t="s">
        <v>40</v>
      </c>
      <c r="D13" s="28">
        <f>IF(E7=1,POWER(10,((D7-30)/10)),IF(E7=7,D7*1000,IF(E7=6,D7,IF(E7=5,D7/1000,IF(E7=4,D7/1000000,IF(E7=3,D7/1000000000,IF(E7=2,D7/1000000000000)))))))</f>
        <v>100</v>
      </c>
      <c r="E13" s="23" t="s">
        <v>27</v>
      </c>
      <c r="F13" s="24"/>
    </row>
    <row r="14" spans="2:6" ht="12.75">
      <c r="B14" s="22"/>
      <c r="C14" s="23" t="s">
        <v>40</v>
      </c>
      <c r="D14" s="28">
        <f>D13/1000</f>
        <v>0.1</v>
      </c>
      <c r="E14" s="23" t="s">
        <v>26</v>
      </c>
      <c r="F14" s="24"/>
    </row>
    <row r="15" spans="2:6" ht="12.75">
      <c r="B15" s="22"/>
      <c r="C15" s="23"/>
      <c r="D15" s="28"/>
      <c r="E15" s="23"/>
      <c r="F15" s="24"/>
    </row>
    <row r="16" spans="2:6" ht="12.75">
      <c r="B16" s="22"/>
      <c r="C16" s="22"/>
      <c r="D16" s="60"/>
      <c r="E16" s="60"/>
      <c r="F16" s="22"/>
    </row>
    <row r="17" spans="2:6" ht="12.75">
      <c r="B17" s="59" t="s">
        <v>46</v>
      </c>
      <c r="C17" s="59"/>
      <c r="D17" s="59"/>
      <c r="E17" s="59"/>
      <c r="F17" s="59"/>
    </row>
    <row r="18" spans="2:6" ht="12.75">
      <c r="B18" s="59" t="s">
        <v>45</v>
      </c>
      <c r="C18" s="59"/>
      <c r="D18" s="59"/>
      <c r="E18" s="59"/>
      <c r="F18" s="59"/>
    </row>
    <row r="19" spans="2:6" ht="12.75">
      <c r="B19" s="59" t="s">
        <v>19</v>
      </c>
      <c r="C19" s="59"/>
      <c r="D19" s="59"/>
      <c r="E19" s="59"/>
      <c r="F19" s="59"/>
    </row>
    <row r="20" spans="2:6" ht="12.75">
      <c r="B20" s="22"/>
      <c r="C20" s="22"/>
      <c r="D20" s="22"/>
      <c r="E20" s="22"/>
      <c r="F20" s="22"/>
    </row>
  </sheetData>
  <sheetProtection sheet="1" objects="1" scenarios="1"/>
  <mergeCells count="7">
    <mergeCell ref="B1:F1"/>
    <mergeCell ref="B3:F3"/>
    <mergeCell ref="B19:F19"/>
    <mergeCell ref="D16:E16"/>
    <mergeCell ref="B18:F18"/>
    <mergeCell ref="B17:F17"/>
    <mergeCell ref="B4:F4"/>
  </mergeCells>
  <dataValidations count="1">
    <dataValidation type="decimal" operator="greaterThanOrEqual" allowBlank="1" showInputMessage="1" showErrorMessage="1" sqref="D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6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15.7109375" style="12" customWidth="1"/>
    <col min="4" max="4" width="10.7109375" style="8" customWidth="1"/>
    <col min="5" max="5" width="3.7109375" style="8" customWidth="1"/>
    <col min="6" max="6" width="12.7109375" style="8" customWidth="1"/>
    <col min="7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88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200</v>
      </c>
      <c r="C4" s="57"/>
      <c r="D4" s="57"/>
      <c r="E4" s="57"/>
      <c r="F4" s="57"/>
      <c r="G4" s="57"/>
      <c r="H4" s="57"/>
      <c r="I4" s="57"/>
      <c r="J4" s="5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9" ht="13.5" thickBot="1">
      <c r="B7" s="17" t="s">
        <v>0</v>
      </c>
      <c r="C7" s="12" t="s">
        <v>6</v>
      </c>
      <c r="D7" s="3">
        <v>100</v>
      </c>
      <c r="E7" s="8" t="s">
        <v>11</v>
      </c>
      <c r="G7" s="26" t="s">
        <v>0</v>
      </c>
      <c r="H7" s="47">
        <v>1.5</v>
      </c>
      <c r="I7" s="27">
        <v>1</v>
      </c>
    </row>
    <row r="8" spans="2:11" ht="13.5" thickBot="1">
      <c r="B8" s="17" t="s">
        <v>0</v>
      </c>
      <c r="C8" s="12" t="s">
        <v>7</v>
      </c>
      <c r="D8" s="4">
        <v>4</v>
      </c>
      <c r="E8" s="8" t="s">
        <v>11</v>
      </c>
      <c r="G8" s="11" t="s">
        <v>50</v>
      </c>
      <c r="H8" s="48">
        <f>IF(I7=1,H7,IF(I7=2,(1+SQRT(POWER(10,-ABS(H7)/10)))/(1-SQRT(POWER(10,-ABS(H7)/10))),IF(I7=3,(1+SQRT(1-H7/100))/(1-SQRT(1-H7/100)),IF(I7=4,(1+H7)/(1-H7)))))</f>
        <v>1.5</v>
      </c>
      <c r="I8" s="14" t="s">
        <v>2</v>
      </c>
      <c r="K8" s="16"/>
    </row>
    <row r="9" spans="2:10" s="16" customFormat="1" ht="12.75">
      <c r="B9" s="12" t="s">
        <v>1</v>
      </c>
      <c r="C9" s="12" t="s">
        <v>2</v>
      </c>
      <c r="D9" s="14">
        <f>(1+D12)/(1-D12)</f>
        <v>1.4999999999999998</v>
      </c>
      <c r="E9" s="12"/>
      <c r="G9" s="11" t="s">
        <v>50</v>
      </c>
      <c r="H9" s="48">
        <f>IF(I7=1,10*LOG(POWER(((H7-1)/(H7+1)),2)),IF(I7=2,-ABS(H7),IF(I7=3,10*LOG(1-H7/100),IF(I7=4,10*LOG(POWER(H7,2))))))</f>
        <v>-13.979400086720375</v>
      </c>
      <c r="I9" s="14" t="s">
        <v>86</v>
      </c>
      <c r="J9" s="8"/>
    </row>
    <row r="10" spans="2:11" s="16" customFormat="1" ht="12.75">
      <c r="B10" s="12" t="s">
        <v>1</v>
      </c>
      <c r="C10" s="12" t="s">
        <v>3</v>
      </c>
      <c r="D10" s="14">
        <f>10*LOG(D8/D7)</f>
        <v>-13.979400086720375</v>
      </c>
      <c r="E10" s="12" t="s">
        <v>8</v>
      </c>
      <c r="G10" s="11" t="s">
        <v>50</v>
      </c>
      <c r="H10" s="48">
        <f>IF(I7=1,100*(1-POWER((H7-1)/(H7+1),2)),IF(I7=2,100*(1-POWER(10,-ABS(H7)/10)),IF(I7=3,H7,IF(I7=4,100*(1-POWER(H7,2))))))</f>
        <v>96</v>
      </c>
      <c r="I10" s="14" t="s">
        <v>87</v>
      </c>
      <c r="J10" s="8"/>
      <c r="K10" s="8"/>
    </row>
    <row r="11" spans="2:10" ht="12.75">
      <c r="B11" s="12" t="s">
        <v>1</v>
      </c>
      <c r="C11" s="12" t="s">
        <v>4</v>
      </c>
      <c r="D11" s="14">
        <f>100*(1-D8/D7)</f>
        <v>96</v>
      </c>
      <c r="E11" s="12" t="s">
        <v>9</v>
      </c>
      <c r="F11" s="16"/>
      <c r="G11" s="11" t="s">
        <v>50</v>
      </c>
      <c r="H11" s="48">
        <f>IF(I7=1,(H7-1)/(H7+1),IF(I7=2,SQRT(POWER(10,-ABS(H7)/10)),IF(I7=3,SQRT(1-H7/100),IF(I7=4,H7))))</f>
        <v>0.2</v>
      </c>
      <c r="I11" s="14" t="s">
        <v>5</v>
      </c>
      <c r="J11" s="12"/>
    </row>
    <row r="12" spans="2:6" ht="12.75">
      <c r="B12" s="12" t="s">
        <v>1</v>
      </c>
      <c r="C12" s="12" t="s">
        <v>5</v>
      </c>
      <c r="D12" s="14">
        <f>SQRT(D8/D7)</f>
        <v>0.2</v>
      </c>
      <c r="E12" s="16"/>
      <c r="F12" s="16"/>
    </row>
    <row r="13" spans="2:6" ht="12.75">
      <c r="B13" s="12"/>
      <c r="D13" s="14"/>
      <c r="E13" s="16"/>
      <c r="F13" s="16"/>
    </row>
    <row r="14" spans="2:6" ht="13.5" thickBot="1">
      <c r="B14" s="12"/>
      <c r="D14" s="14"/>
      <c r="E14" s="16"/>
      <c r="F14" s="16"/>
    </row>
    <row r="15" spans="2:8" ht="13.5" thickBot="1">
      <c r="B15" s="17" t="s">
        <v>0</v>
      </c>
      <c r="C15" s="13" t="s">
        <v>12</v>
      </c>
      <c r="D15" s="5">
        <v>50</v>
      </c>
      <c r="E15" s="14" t="s">
        <v>11</v>
      </c>
      <c r="F15" s="16"/>
      <c r="G15" s="21" t="s">
        <v>18</v>
      </c>
      <c r="H15" s="38"/>
    </row>
    <row r="16" spans="2:8" ht="12.75">
      <c r="B16" s="12" t="s">
        <v>1</v>
      </c>
      <c r="C16" s="13" t="s">
        <v>12</v>
      </c>
      <c r="D16" s="14">
        <f>10*LOG(D15)+30</f>
        <v>46.98970004336019</v>
      </c>
      <c r="E16" s="14" t="s">
        <v>14</v>
      </c>
      <c r="F16" s="16"/>
      <c r="G16" s="21" t="s">
        <v>22</v>
      </c>
      <c r="H16" s="38"/>
    </row>
    <row r="17" spans="2:8" ht="13.5" thickBot="1">
      <c r="B17" s="16"/>
      <c r="D17" s="16"/>
      <c r="E17" s="16"/>
      <c r="F17" s="16"/>
      <c r="G17" s="21" t="s">
        <v>23</v>
      </c>
      <c r="H17" s="38"/>
    </row>
    <row r="18" spans="2:8" ht="13.5" thickBot="1">
      <c r="B18" s="17" t="s">
        <v>0</v>
      </c>
      <c r="C18" s="13" t="s">
        <v>12</v>
      </c>
      <c r="D18" s="5">
        <v>47</v>
      </c>
      <c r="E18" s="14" t="s">
        <v>14</v>
      </c>
      <c r="F18" s="16"/>
      <c r="G18" s="21" t="s">
        <v>89</v>
      </c>
      <c r="H18" s="38"/>
    </row>
    <row r="19" spans="2:8" ht="12.75">
      <c r="B19" s="12" t="s">
        <v>1</v>
      </c>
      <c r="C19" s="13" t="s">
        <v>12</v>
      </c>
      <c r="D19" s="14">
        <f>POWER(10,((D18-30)/10))</f>
        <v>50.11872336272724</v>
      </c>
      <c r="E19" s="14" t="s">
        <v>11</v>
      </c>
      <c r="G19" s="21" t="s">
        <v>25</v>
      </c>
      <c r="H19" s="38"/>
    </row>
    <row r="20" spans="7:8" ht="12.75">
      <c r="G20" s="21" t="s">
        <v>90</v>
      </c>
      <c r="H20" s="38"/>
    </row>
    <row r="21" spans="2:8" ht="12.75">
      <c r="B21" s="21" t="s">
        <v>19</v>
      </c>
      <c r="G21" s="21" t="s">
        <v>24</v>
      </c>
      <c r="H21" s="38"/>
    </row>
    <row r="22" ht="12.75">
      <c r="H22" s="8"/>
    </row>
    <row r="23" ht="12.75">
      <c r="H23" s="8"/>
    </row>
    <row r="31" ht="12.75">
      <c r="C31" s="8"/>
    </row>
    <row r="32" s="12" customFormat="1" ht="12.75">
      <c r="H32" s="14"/>
    </row>
    <row r="33" ht="12.75">
      <c r="C33" s="8"/>
    </row>
    <row r="34" ht="12.75">
      <c r="C34" s="8"/>
    </row>
    <row r="35" ht="12.75">
      <c r="C35" s="8"/>
    </row>
    <row r="36" s="12" customFormat="1" ht="12.75">
      <c r="H36" s="14"/>
    </row>
  </sheetData>
  <sheetProtection sheet="1" objects="1" scenarios="1"/>
  <mergeCells count="3">
    <mergeCell ref="B4:J4"/>
    <mergeCell ref="B3:J3"/>
    <mergeCell ref="B1:J1"/>
  </mergeCells>
  <dataValidations count="2">
    <dataValidation type="decimal" operator="greaterThanOrEqual" allowBlank="1" showInputMessage="1" showErrorMessage="1" sqref="D7:D8 D15">
      <formula1>0</formula1>
    </dataValidation>
    <dataValidation type="decimal" operator="greaterThanOrEqual" allowBlank="1" showInputMessage="1" showErrorMessage="1" sqref="D18 H7">
      <formula1>-200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18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3" width="5.7109375" style="8" customWidth="1"/>
    <col min="4" max="4" width="12.8515625" style="8" customWidth="1"/>
    <col min="5" max="5" width="18.7109375" style="25" customWidth="1"/>
    <col min="6" max="6" width="15.8515625" style="8" customWidth="1"/>
    <col min="7" max="7" width="5.7109375" style="8" customWidth="1"/>
    <col min="8" max="8" width="18.7109375" style="8" customWidth="1"/>
    <col min="9" max="9" width="5.7109375" style="8" customWidth="1"/>
    <col min="10" max="16384" width="9.140625" style="8" customWidth="1"/>
  </cols>
  <sheetData>
    <row r="1" spans="2:8" ht="12.75">
      <c r="B1" s="57" t="s">
        <v>203</v>
      </c>
      <c r="C1" s="57"/>
      <c r="D1" s="57"/>
      <c r="E1" s="57"/>
      <c r="F1" s="57"/>
      <c r="G1" s="57"/>
      <c r="H1" s="57"/>
    </row>
    <row r="2" spans="2:8" ht="12.75">
      <c r="B2" s="37"/>
      <c r="C2" s="37"/>
      <c r="D2" s="37"/>
      <c r="E2" s="37"/>
      <c r="F2" s="37"/>
      <c r="G2" s="37"/>
      <c r="H2" s="37"/>
    </row>
    <row r="3" spans="2:8" ht="22.5">
      <c r="B3" s="61" t="s">
        <v>43</v>
      </c>
      <c r="C3" s="61"/>
      <c r="D3" s="61"/>
      <c r="E3" s="61"/>
      <c r="F3" s="61"/>
      <c r="G3" s="61"/>
      <c r="H3" s="61"/>
    </row>
    <row r="4" spans="1:8" ht="12.75">
      <c r="A4" s="36"/>
      <c r="B4" s="57" t="s">
        <v>195</v>
      </c>
      <c r="C4" s="57"/>
      <c r="D4" s="57"/>
      <c r="E4" s="57"/>
      <c r="F4" s="57"/>
      <c r="G4" s="57"/>
      <c r="H4" s="57"/>
    </row>
    <row r="5" spans="1:7" ht="12.75">
      <c r="A5" s="9"/>
      <c r="B5" s="9"/>
      <c r="C5" s="10"/>
      <c r="D5" s="10"/>
      <c r="E5" s="37"/>
      <c r="F5" s="10"/>
      <c r="G5" s="10"/>
    </row>
    <row r="6" spans="3:6" ht="13.5" thickBot="1">
      <c r="C6" s="10"/>
      <c r="D6" s="10"/>
      <c r="E6" s="29"/>
      <c r="F6" s="10"/>
    </row>
    <row r="7" spans="4:6" ht="13.5" thickBot="1">
      <c r="D7" s="26" t="s">
        <v>0</v>
      </c>
      <c r="E7" s="1">
        <v>150</v>
      </c>
      <c r="F7" s="27">
        <v>2</v>
      </c>
    </row>
    <row r="8" spans="4:6" ht="12.75">
      <c r="D8" s="13" t="s">
        <v>31</v>
      </c>
      <c r="E8" s="28">
        <f>E9*1000</f>
        <v>150000</v>
      </c>
      <c r="F8" s="14" t="s">
        <v>33</v>
      </c>
    </row>
    <row r="9" spans="4:6" ht="12.75">
      <c r="D9" s="13" t="s">
        <v>31</v>
      </c>
      <c r="E9" s="28">
        <f>IF(F7=1,E7/1000,IF(F7=2,E7,IF(F7=3,E7*1000,IF(F7=4,300/E7,IF(F7=5,30000/E7,IF(F7=6,984/E7,IF(F7=7,984*12/E7)))))))</f>
        <v>150</v>
      </c>
      <c r="F9" s="14" t="s">
        <v>34</v>
      </c>
    </row>
    <row r="10" spans="4:6" ht="12.75">
      <c r="D10" s="13" t="s">
        <v>31</v>
      </c>
      <c r="E10" s="28">
        <f>E9/1000</f>
        <v>0.15</v>
      </c>
      <c r="F10" s="14" t="s">
        <v>35</v>
      </c>
    </row>
    <row r="11" spans="4:6" s="12" customFormat="1" ht="12.75">
      <c r="D11" s="13" t="s">
        <v>32</v>
      </c>
      <c r="E11" s="28">
        <f>IF(F7=1,300000/E7,IF(F7=2,300/E7,IF(F7=3,0.3/E7,IF(F7=4,E7,IF(F7=5,E7/100,IF(F7=6,E7*0.3048,IF(F7=7,E7*0.3048/12)))))))</f>
        <v>2</v>
      </c>
      <c r="F11" s="14" t="s">
        <v>36</v>
      </c>
    </row>
    <row r="12" spans="4:6" ht="12.75">
      <c r="D12" s="13" t="s">
        <v>32</v>
      </c>
      <c r="E12" s="28">
        <f>E11*100</f>
        <v>200</v>
      </c>
      <c r="F12" s="14" t="s">
        <v>37</v>
      </c>
    </row>
    <row r="13" spans="4:6" ht="12.75">
      <c r="D13" s="13" t="s">
        <v>32</v>
      </c>
      <c r="E13" s="28">
        <f>E11/0.3048</f>
        <v>6.561679790026246</v>
      </c>
      <c r="F13" s="14" t="s">
        <v>38</v>
      </c>
    </row>
    <row r="14" spans="4:6" ht="12.75">
      <c r="D14" s="13" t="s">
        <v>32</v>
      </c>
      <c r="E14" s="28">
        <f>12*E11/0.3048</f>
        <v>78.74015748031496</v>
      </c>
      <c r="F14" s="14" t="s">
        <v>39</v>
      </c>
    </row>
    <row r="15" spans="4:6" ht="12.75">
      <c r="D15" s="13"/>
      <c r="E15" s="28"/>
      <c r="F15" s="14"/>
    </row>
    <row r="17" spans="3:7" ht="12.75">
      <c r="C17" s="57" t="s">
        <v>41</v>
      </c>
      <c r="D17" s="57"/>
      <c r="E17" s="57"/>
      <c r="F17" s="57"/>
      <c r="G17" s="57"/>
    </row>
    <row r="18" spans="3:7" ht="12.75">
      <c r="C18" s="57" t="s">
        <v>42</v>
      </c>
      <c r="D18" s="57"/>
      <c r="E18" s="57"/>
      <c r="F18" s="57"/>
      <c r="G18" s="57"/>
    </row>
  </sheetData>
  <sheetProtection sheet="1" objects="1" scenarios="1"/>
  <mergeCells count="5">
    <mergeCell ref="B1:H1"/>
    <mergeCell ref="C17:G17"/>
    <mergeCell ref="C18:G18"/>
    <mergeCell ref="B4:H4"/>
    <mergeCell ref="B3:H3"/>
  </mergeCells>
  <dataValidations count="1">
    <dataValidation type="decimal" operator="greaterThanOrEqual" allowBlank="1" showInputMessage="1" showErrorMessage="1" sqref="E7">
      <formula1>0</formula1>
    </dataValidation>
  </dataValidations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22"/>
  <sheetViews>
    <sheetView workbookViewId="0" topLeftCell="A1">
      <selection activeCell="A23" sqref="A23"/>
    </sheetView>
  </sheetViews>
  <sheetFormatPr defaultColWidth="9.140625" defaultRowHeight="12.75"/>
  <cols>
    <col min="1" max="1" width="7.7109375" style="8" customWidth="1"/>
    <col min="2" max="2" width="10.7109375" style="8" customWidth="1"/>
    <col min="3" max="3" width="13.7109375" style="13" customWidth="1"/>
    <col min="4" max="4" width="10.7109375" style="14" customWidth="1"/>
    <col min="5" max="5" width="6.7109375" style="14" customWidth="1"/>
    <col min="6" max="6" width="8.421875" style="14" customWidth="1"/>
    <col min="7" max="7" width="10.7109375" style="8" customWidth="1"/>
    <col min="8" max="8" width="13.8515625" style="12" customWidth="1"/>
    <col min="9" max="9" width="10.7109375" style="8" customWidth="1"/>
    <col min="10" max="10" width="6.7109375" style="12" customWidth="1"/>
    <col min="11" max="11" width="7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2:10" ht="22.5">
      <c r="B3" s="61" t="s">
        <v>20</v>
      </c>
      <c r="C3" s="61"/>
      <c r="D3" s="61"/>
      <c r="E3" s="61"/>
      <c r="F3" s="61"/>
      <c r="G3" s="61"/>
      <c r="H3" s="61"/>
      <c r="I3" s="61"/>
      <c r="J3" s="61"/>
    </row>
    <row r="4" spans="1:10" ht="12.75">
      <c r="A4" s="36"/>
      <c r="B4" s="57" t="s">
        <v>198</v>
      </c>
      <c r="C4" s="57"/>
      <c r="D4" s="57"/>
      <c r="E4" s="57"/>
      <c r="F4" s="57"/>
      <c r="G4" s="57"/>
      <c r="H4" s="57"/>
      <c r="I4" s="57"/>
      <c r="J4" s="57"/>
    </row>
    <row r="5" spans="2:10" ht="12.75">
      <c r="B5" s="10"/>
      <c r="C5" s="15"/>
      <c r="D5" s="10"/>
      <c r="E5" s="10"/>
      <c r="F5" s="10"/>
      <c r="G5" s="10"/>
      <c r="H5" s="15"/>
      <c r="I5" s="10"/>
      <c r="J5" s="15"/>
    </row>
    <row r="6" spans="2:10" ht="13.5" thickBot="1">
      <c r="B6" s="10"/>
      <c r="C6" s="15"/>
      <c r="D6" s="10"/>
      <c r="E6" s="10"/>
      <c r="F6" s="10"/>
      <c r="G6" s="10"/>
      <c r="H6" s="15"/>
      <c r="I6" s="10"/>
      <c r="J6" s="15"/>
    </row>
    <row r="7" spans="2:10" s="16" customFormat="1" ht="12.75">
      <c r="B7" s="17" t="s">
        <v>0</v>
      </c>
      <c r="C7" s="13" t="s">
        <v>10</v>
      </c>
      <c r="D7" s="6">
        <v>50</v>
      </c>
      <c r="E7" s="14" t="s">
        <v>11</v>
      </c>
      <c r="F7" s="18"/>
      <c r="G7" s="17" t="s">
        <v>0</v>
      </c>
      <c r="H7" s="13" t="s">
        <v>10</v>
      </c>
      <c r="I7" s="6">
        <v>50</v>
      </c>
      <c r="J7" s="14" t="s">
        <v>11</v>
      </c>
    </row>
    <row r="8" spans="2:10" s="16" customFormat="1" ht="13.5" thickBot="1">
      <c r="B8" s="17" t="s">
        <v>0</v>
      </c>
      <c r="C8" s="13" t="s">
        <v>15</v>
      </c>
      <c r="D8" s="7">
        <v>25</v>
      </c>
      <c r="E8" s="14" t="s">
        <v>11</v>
      </c>
      <c r="F8" s="18"/>
      <c r="G8" s="17" t="s">
        <v>0</v>
      </c>
      <c r="H8" s="13" t="s">
        <v>13</v>
      </c>
      <c r="I8" s="7">
        <v>3</v>
      </c>
      <c r="J8" s="14" t="s">
        <v>8</v>
      </c>
    </row>
    <row r="9" spans="2:10" s="16" customFormat="1" ht="12.75">
      <c r="B9" s="12" t="s">
        <v>1</v>
      </c>
      <c r="C9" s="13" t="s">
        <v>10</v>
      </c>
      <c r="D9" s="14">
        <f>10*LOG(D7)+30</f>
        <v>46.98970004336019</v>
      </c>
      <c r="E9" s="14" t="s">
        <v>14</v>
      </c>
      <c r="F9" s="18"/>
      <c r="G9" s="12" t="s">
        <v>1</v>
      </c>
      <c r="H9" s="13" t="s">
        <v>10</v>
      </c>
      <c r="I9" s="14">
        <f>10*LOG(I7)+30</f>
        <v>46.98970004336019</v>
      </c>
      <c r="J9" s="14" t="s">
        <v>14</v>
      </c>
    </row>
    <row r="10" spans="2:10" s="16" customFormat="1" ht="12.75">
      <c r="B10" s="12" t="s">
        <v>1</v>
      </c>
      <c r="C10" s="13" t="s">
        <v>15</v>
      </c>
      <c r="D10" s="14">
        <f>10*LOG(D8)+30</f>
        <v>43.979400086720375</v>
      </c>
      <c r="E10" s="14" t="s">
        <v>14</v>
      </c>
      <c r="F10" s="18"/>
      <c r="G10" s="12" t="s">
        <v>1</v>
      </c>
      <c r="H10" s="13" t="s">
        <v>15</v>
      </c>
      <c r="I10" s="14">
        <f>(10*LOG(I7)+30-I8)</f>
        <v>43.98970004336019</v>
      </c>
      <c r="J10" s="14" t="s">
        <v>14</v>
      </c>
    </row>
    <row r="11" spans="2:10" s="12" customFormat="1" ht="12.75">
      <c r="B11" s="12" t="s">
        <v>1</v>
      </c>
      <c r="C11" s="13" t="s">
        <v>13</v>
      </c>
      <c r="D11" s="14">
        <f>D9-D10</f>
        <v>3.0102999566398125</v>
      </c>
      <c r="E11" s="14" t="s">
        <v>8</v>
      </c>
      <c r="F11" s="14"/>
      <c r="G11" s="12" t="s">
        <v>1</v>
      </c>
      <c r="H11" s="13" t="s">
        <v>15</v>
      </c>
      <c r="I11" s="14">
        <f>POWER(10,((I10)-30)/10)</f>
        <v>25.059361681363615</v>
      </c>
      <c r="J11" s="14" t="s">
        <v>11</v>
      </c>
    </row>
    <row r="12" spans="3:10" s="16" customFormat="1" ht="12.75">
      <c r="C12" s="13"/>
      <c r="D12" s="18"/>
      <c r="E12" s="18"/>
      <c r="F12" s="18"/>
      <c r="H12" s="13"/>
      <c r="I12" s="18"/>
      <c r="J12" s="14"/>
    </row>
    <row r="13" spans="2:10" ht="13.5" thickBot="1">
      <c r="B13" s="10"/>
      <c r="C13" s="15"/>
      <c r="D13" s="10"/>
      <c r="E13" s="10"/>
      <c r="F13" s="10"/>
      <c r="G13" s="10"/>
      <c r="H13" s="15"/>
      <c r="I13" s="10"/>
      <c r="J13" s="15"/>
    </row>
    <row r="14" spans="2:10" s="16" customFormat="1" ht="13.5" thickBot="1">
      <c r="B14" s="17" t="s">
        <v>0</v>
      </c>
      <c r="C14" s="13" t="s">
        <v>12</v>
      </c>
      <c r="D14" s="5">
        <v>50</v>
      </c>
      <c r="E14" s="14" t="s">
        <v>11</v>
      </c>
      <c r="F14" s="10"/>
      <c r="G14" s="17" t="s">
        <v>0</v>
      </c>
      <c r="H14" s="13" t="s">
        <v>15</v>
      </c>
      <c r="I14" s="6">
        <v>25</v>
      </c>
      <c r="J14" s="14" t="s">
        <v>11</v>
      </c>
    </row>
    <row r="15" spans="2:10" s="12" customFormat="1" ht="13.5" thickBot="1">
      <c r="B15" s="12" t="s">
        <v>1</v>
      </c>
      <c r="C15" s="13" t="s">
        <v>12</v>
      </c>
      <c r="D15" s="14">
        <f>10*LOG(D14)+30</f>
        <v>46.98970004336019</v>
      </c>
      <c r="E15" s="14" t="s">
        <v>14</v>
      </c>
      <c r="F15" s="15"/>
      <c r="G15" s="17" t="s">
        <v>0</v>
      </c>
      <c r="H15" s="13" t="s">
        <v>13</v>
      </c>
      <c r="I15" s="7">
        <v>3</v>
      </c>
      <c r="J15" s="14" t="s">
        <v>8</v>
      </c>
    </row>
    <row r="16" spans="3:10" s="12" customFormat="1" ht="13.5" thickBot="1">
      <c r="C16" s="13"/>
      <c r="D16" s="14"/>
      <c r="E16" s="14"/>
      <c r="F16" s="15"/>
      <c r="G16" s="12" t="s">
        <v>1</v>
      </c>
      <c r="H16" s="13" t="s">
        <v>15</v>
      </c>
      <c r="I16" s="14">
        <f>10*LOG(I14)+30</f>
        <v>43.979400086720375</v>
      </c>
      <c r="J16" s="14" t="s">
        <v>14</v>
      </c>
    </row>
    <row r="17" spans="2:10" s="12" customFormat="1" ht="13.5" thickBot="1">
      <c r="B17" s="17" t="s">
        <v>0</v>
      </c>
      <c r="C17" s="13" t="s">
        <v>12</v>
      </c>
      <c r="D17" s="5">
        <v>47</v>
      </c>
      <c r="E17" s="14" t="s">
        <v>14</v>
      </c>
      <c r="F17" s="15"/>
      <c r="G17" s="12" t="s">
        <v>1</v>
      </c>
      <c r="H17" s="13" t="s">
        <v>10</v>
      </c>
      <c r="I17" s="14">
        <f>(10*LOG(I14)+30+I15)</f>
        <v>46.979400086720375</v>
      </c>
      <c r="J17" s="14" t="s">
        <v>14</v>
      </c>
    </row>
    <row r="18" spans="2:10" s="12" customFormat="1" ht="12.75">
      <c r="B18" s="12" t="s">
        <v>1</v>
      </c>
      <c r="C18" s="13" t="s">
        <v>12</v>
      </c>
      <c r="D18" s="14">
        <f>POWER(10,((D17-30)/10))</f>
        <v>50.11872336272724</v>
      </c>
      <c r="E18" s="14" t="s">
        <v>11</v>
      </c>
      <c r="F18" s="15"/>
      <c r="G18" s="12" t="s">
        <v>1</v>
      </c>
      <c r="H18" s="13" t="s">
        <v>10</v>
      </c>
      <c r="I18" s="14">
        <f>POWER(10,((I17)-30)/10)</f>
        <v>49.88155787422199</v>
      </c>
      <c r="J18" s="14" t="s">
        <v>11</v>
      </c>
    </row>
    <row r="19" spans="3:10" s="12" customFormat="1" ht="12.75">
      <c r="C19" s="13"/>
      <c r="D19" s="14"/>
      <c r="E19" s="14"/>
      <c r="F19" s="15"/>
      <c r="H19" s="13"/>
      <c r="I19" s="14"/>
      <c r="J19" s="14"/>
    </row>
    <row r="20" spans="3:6" s="12" customFormat="1" ht="12.75">
      <c r="C20" s="13"/>
      <c r="D20" s="14"/>
      <c r="E20" s="14"/>
      <c r="F20" s="14"/>
    </row>
    <row r="21" spans="2:10" ht="12.75">
      <c r="B21" s="57" t="s">
        <v>17</v>
      </c>
      <c r="C21" s="57"/>
      <c r="D21" s="57"/>
      <c r="E21" s="57"/>
      <c r="F21" s="57"/>
      <c r="G21" s="57"/>
      <c r="H21" s="57"/>
      <c r="I21" s="57"/>
      <c r="J21" s="57"/>
    </row>
    <row r="22" spans="2:10" ht="12.75">
      <c r="B22" s="57" t="s">
        <v>19</v>
      </c>
      <c r="C22" s="57"/>
      <c r="D22" s="57"/>
      <c r="E22" s="57"/>
      <c r="F22" s="57"/>
      <c r="G22" s="57"/>
      <c r="H22" s="57"/>
      <c r="I22" s="57"/>
      <c r="J22" s="57"/>
    </row>
  </sheetData>
  <sheetProtection sheet="1" objects="1" scenarios="1"/>
  <mergeCells count="5">
    <mergeCell ref="B1:J1"/>
    <mergeCell ref="B3:J3"/>
    <mergeCell ref="B22:J22"/>
    <mergeCell ref="B21:J21"/>
    <mergeCell ref="B4:J4"/>
  </mergeCells>
  <dataValidations count="2">
    <dataValidation type="decimal" operator="greaterThanOrEqual" allowBlank="1" showInputMessage="1" showErrorMessage="1" sqref="D7:D8 D14 I7:I8 I14:I15">
      <formula1>0</formula1>
    </dataValidation>
    <dataValidation type="decimal" operator="greaterThanOrEqual" allowBlank="1" showInputMessage="1" showErrorMessage="1" sqref="D17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57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4.7109375" style="12" customWidth="1"/>
    <col min="4" max="4" width="10.7109375" style="8" customWidth="1"/>
    <col min="5" max="5" width="3.7109375" style="8" customWidth="1"/>
    <col min="6" max="7" width="5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202</v>
      </c>
      <c r="C1" s="57"/>
      <c r="D1" s="57"/>
      <c r="E1" s="57"/>
      <c r="F1" s="57"/>
      <c r="G1" s="57"/>
      <c r="H1" s="57"/>
      <c r="I1" s="57"/>
      <c r="J1" s="5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142</v>
      </c>
      <c r="C3" s="61"/>
      <c r="D3" s="61"/>
      <c r="E3" s="61"/>
      <c r="F3" s="61"/>
      <c r="G3" s="61"/>
      <c r="H3" s="61"/>
      <c r="I3" s="61"/>
      <c r="J3" s="61"/>
      <c r="K3" s="30"/>
    </row>
    <row r="4" spans="1:10" ht="12.75">
      <c r="A4" s="36"/>
      <c r="B4" s="57" t="s">
        <v>194</v>
      </c>
      <c r="C4" s="57"/>
      <c r="D4" s="57"/>
      <c r="E4" s="57"/>
      <c r="F4" s="57"/>
      <c r="G4" s="57"/>
      <c r="H4" s="57"/>
      <c r="I4" s="57"/>
      <c r="J4" s="57"/>
    </row>
    <row r="5" spans="1:10" ht="13.5" thickBot="1">
      <c r="A5" s="9"/>
      <c r="B5" s="37"/>
      <c r="C5" s="37"/>
      <c r="D5" s="37" t="s">
        <v>16</v>
      </c>
      <c r="E5" s="37"/>
      <c r="F5" s="37"/>
      <c r="G5" s="37"/>
      <c r="H5" s="37"/>
      <c r="I5" s="37"/>
      <c r="J5" s="37"/>
    </row>
    <row r="6" spans="2:7" ht="12.75">
      <c r="B6" s="17" t="s">
        <v>0</v>
      </c>
      <c r="C6" s="12" t="s">
        <v>130</v>
      </c>
      <c r="D6" s="41">
        <v>30</v>
      </c>
      <c r="E6" s="8" t="s">
        <v>8</v>
      </c>
      <c r="G6" s="21" t="s">
        <v>131</v>
      </c>
    </row>
    <row r="7" spans="2:7" ht="12.75">
      <c r="B7" s="17" t="s">
        <v>0</v>
      </c>
      <c r="C7" s="12" t="s">
        <v>6</v>
      </c>
      <c r="D7" s="39">
        <v>100</v>
      </c>
      <c r="E7" s="8" t="s">
        <v>11</v>
      </c>
      <c r="G7" s="21" t="s">
        <v>133</v>
      </c>
    </row>
    <row r="8" spans="2:11" ht="13.5" thickBot="1">
      <c r="B8" s="17" t="s">
        <v>0</v>
      </c>
      <c r="C8" s="12" t="s">
        <v>7</v>
      </c>
      <c r="D8" s="40">
        <v>4</v>
      </c>
      <c r="E8" s="8" t="s">
        <v>11</v>
      </c>
      <c r="G8" s="21" t="s">
        <v>179</v>
      </c>
      <c r="K8" s="16"/>
    </row>
    <row r="9" spans="2:10" s="12" customFormat="1" ht="12.75">
      <c r="B9" s="12" t="s">
        <v>1</v>
      </c>
      <c r="C9" s="12" t="s">
        <v>103</v>
      </c>
      <c r="D9" s="42">
        <f>D41</f>
        <v>98.73908893593266</v>
      </c>
      <c r="E9" s="12" t="s">
        <v>11</v>
      </c>
      <c r="G9" s="21" t="s">
        <v>132</v>
      </c>
      <c r="H9" s="35"/>
      <c r="I9" s="8"/>
      <c r="J9" s="8"/>
    </row>
    <row r="10" spans="2:10" s="12" customFormat="1" ht="12.75">
      <c r="B10" s="12" t="s">
        <v>1</v>
      </c>
      <c r="C10" s="12" t="s">
        <v>102</v>
      </c>
      <c r="D10" s="42">
        <f>D43</f>
        <v>101.26891106406737</v>
      </c>
      <c r="E10" s="12" t="s">
        <v>11</v>
      </c>
      <c r="G10" s="21" t="s">
        <v>16</v>
      </c>
      <c r="H10" s="35"/>
      <c r="I10" s="8"/>
      <c r="J10" s="8"/>
    </row>
    <row r="11" spans="2:8" s="12" customFormat="1" ht="12.75">
      <c r="B11" s="12" t="s">
        <v>1</v>
      </c>
      <c r="C11" s="12" t="s">
        <v>138</v>
      </c>
      <c r="D11" s="42">
        <f>D42</f>
        <v>-1.2609110640673435</v>
      </c>
      <c r="E11" s="12" t="s">
        <v>9</v>
      </c>
      <c r="G11" s="21" t="s">
        <v>204</v>
      </c>
      <c r="H11" s="14"/>
    </row>
    <row r="12" spans="2:8" s="12" customFormat="1" ht="12.75">
      <c r="B12" s="12" t="s">
        <v>1</v>
      </c>
      <c r="C12" s="12" t="s">
        <v>137</v>
      </c>
      <c r="D12" s="42">
        <f>D44</f>
        <v>1.2689110640673675</v>
      </c>
      <c r="E12" s="12" t="s">
        <v>9</v>
      </c>
      <c r="G12" s="21" t="s">
        <v>205</v>
      </c>
      <c r="H12" s="14"/>
    </row>
    <row r="13" spans="2:10" s="12" customFormat="1" ht="12.75">
      <c r="B13" s="12" t="s">
        <v>1</v>
      </c>
      <c r="C13" s="12" t="s">
        <v>105</v>
      </c>
      <c r="D13" s="42">
        <f>D45</f>
        <v>2.8350889359326485</v>
      </c>
      <c r="E13" s="12" t="s">
        <v>11</v>
      </c>
      <c r="G13" s="21" t="s">
        <v>206</v>
      </c>
      <c r="H13" s="35"/>
      <c r="I13" s="8"/>
      <c r="J13" s="8"/>
    </row>
    <row r="14" spans="2:10" s="12" customFormat="1" ht="12.75">
      <c r="B14" s="12" t="s">
        <v>1</v>
      </c>
      <c r="C14" s="12" t="s">
        <v>104</v>
      </c>
      <c r="D14" s="42">
        <f>D47</f>
        <v>5.364911064067352</v>
      </c>
      <c r="E14" s="12" t="s">
        <v>11</v>
      </c>
      <c r="G14" s="21" t="s">
        <v>207</v>
      </c>
      <c r="H14" s="35"/>
      <c r="I14" s="8"/>
      <c r="J14" s="8"/>
    </row>
    <row r="15" spans="2:8" s="12" customFormat="1" ht="12.75">
      <c r="B15" s="12" t="s">
        <v>1</v>
      </c>
      <c r="C15" s="12" t="s">
        <v>140</v>
      </c>
      <c r="D15" s="42">
        <f>D46</f>
        <v>-29.122776601683785</v>
      </c>
      <c r="E15" s="12" t="s">
        <v>9</v>
      </c>
      <c r="G15" s="21" t="s">
        <v>208</v>
      </c>
      <c r="H15" s="14"/>
    </row>
    <row r="16" spans="2:8" s="12" customFormat="1" ht="12.75">
      <c r="B16" s="12" t="s">
        <v>1</v>
      </c>
      <c r="C16" s="12" t="s">
        <v>139</v>
      </c>
      <c r="D16" s="42">
        <f>D48</f>
        <v>34.12277660168379</v>
      </c>
      <c r="E16" s="12" t="s">
        <v>9</v>
      </c>
      <c r="G16" s="21" t="s">
        <v>16</v>
      </c>
      <c r="H16" s="14"/>
    </row>
    <row r="17" spans="2:10" s="12" customFormat="1" ht="12.75">
      <c r="B17" s="12" t="s">
        <v>1</v>
      </c>
      <c r="C17" s="12" t="s">
        <v>108</v>
      </c>
      <c r="D17" s="42">
        <f aca="true" t="shared" si="0" ref="D17:D22">D52</f>
        <v>1.4018802065091733</v>
      </c>
      <c r="E17" s="12" t="s">
        <v>16</v>
      </c>
      <c r="G17" s="21" t="s">
        <v>134</v>
      </c>
      <c r="H17" s="35"/>
      <c r="I17" s="8"/>
      <c r="J17" s="8"/>
    </row>
    <row r="18" spans="2:10" s="16" customFormat="1" ht="12.75">
      <c r="B18" s="12" t="s">
        <v>1</v>
      </c>
      <c r="C18" s="12" t="s">
        <v>2</v>
      </c>
      <c r="D18" s="42">
        <f t="shared" si="0"/>
        <v>1.4999999999999998</v>
      </c>
      <c r="E18" s="12"/>
      <c r="G18" s="21" t="s">
        <v>135</v>
      </c>
      <c r="H18" s="35"/>
      <c r="I18" s="8"/>
      <c r="J18" s="8"/>
    </row>
    <row r="19" spans="2:10" s="12" customFormat="1" ht="12.75">
      <c r="B19" s="12" t="s">
        <v>1</v>
      </c>
      <c r="C19" s="12" t="s">
        <v>107</v>
      </c>
      <c r="D19" s="42">
        <f t="shared" si="0"/>
        <v>1.6078917804615107</v>
      </c>
      <c r="E19" s="12" t="s">
        <v>16</v>
      </c>
      <c r="G19" s="21" t="s">
        <v>209</v>
      </c>
      <c r="H19" s="35"/>
      <c r="I19" s="8"/>
      <c r="J19" s="8"/>
    </row>
    <row r="20" spans="2:10" s="12" customFormat="1" ht="12.75">
      <c r="B20" s="12" t="s">
        <v>1</v>
      </c>
      <c r="C20" s="12" t="s">
        <v>110</v>
      </c>
      <c r="D20" s="46">
        <f t="shared" si="0"/>
        <v>-15.529094529362675</v>
      </c>
      <c r="E20" s="12" t="s">
        <v>8</v>
      </c>
      <c r="G20" s="21" t="s">
        <v>16</v>
      </c>
      <c r="H20" s="35"/>
      <c r="I20" s="8"/>
      <c r="J20" s="8"/>
    </row>
    <row r="21" spans="2:11" s="16" customFormat="1" ht="12.75">
      <c r="B21" s="12" t="s">
        <v>1</v>
      </c>
      <c r="C21" s="12" t="s">
        <v>3</v>
      </c>
      <c r="D21" s="46">
        <f t="shared" si="0"/>
        <v>-13.979400086720375</v>
      </c>
      <c r="E21" s="12" t="s">
        <v>8</v>
      </c>
      <c r="H21" s="35"/>
      <c r="I21" s="8"/>
      <c r="J21" s="8"/>
      <c r="K21" s="8"/>
    </row>
    <row r="22" spans="2:10" s="12" customFormat="1" ht="12.75">
      <c r="B22" s="12" t="s">
        <v>1</v>
      </c>
      <c r="C22" s="12" t="s">
        <v>109</v>
      </c>
      <c r="D22" s="42">
        <f t="shared" si="0"/>
        <v>-12.649265887572923</v>
      </c>
      <c r="E22" s="12" t="s">
        <v>8</v>
      </c>
      <c r="H22" s="35"/>
      <c r="I22" s="8"/>
      <c r="J22" s="8"/>
    </row>
    <row r="24" spans="2:10" s="12" customFormat="1" ht="12.75">
      <c r="B24" s="21" t="s">
        <v>136</v>
      </c>
      <c r="D24" s="42"/>
      <c r="G24" s="8"/>
      <c r="H24" s="35"/>
      <c r="I24" s="8"/>
      <c r="J24" s="8"/>
    </row>
    <row r="25" spans="2:10" s="12" customFormat="1" ht="12.75">
      <c r="B25" s="21"/>
      <c r="D25" s="42"/>
      <c r="G25" s="8"/>
      <c r="H25" s="35"/>
      <c r="I25" s="8"/>
      <c r="J25" s="8"/>
    </row>
    <row r="26" spans="2:7" ht="12.75">
      <c r="B26" s="8" t="s">
        <v>106</v>
      </c>
      <c r="C26" s="12" t="s">
        <v>130</v>
      </c>
      <c r="D26" s="43">
        <f>D6</f>
        <v>30</v>
      </c>
      <c r="E26" s="8" t="s">
        <v>8</v>
      </c>
      <c r="G26" s="21" t="s">
        <v>173</v>
      </c>
    </row>
    <row r="27" spans="2:7" ht="12.75">
      <c r="B27" s="8" t="s">
        <v>106</v>
      </c>
      <c r="C27" s="12" t="s">
        <v>6</v>
      </c>
      <c r="D27" s="43">
        <f>D7</f>
        <v>100</v>
      </c>
      <c r="E27" s="8" t="s">
        <v>11</v>
      </c>
      <c r="G27" s="21" t="s">
        <v>114</v>
      </c>
    </row>
    <row r="28" spans="2:7" ht="12.75">
      <c r="B28" s="8" t="s">
        <v>106</v>
      </c>
      <c r="C28" s="12" t="s">
        <v>7</v>
      </c>
      <c r="D28" s="43">
        <f>D8</f>
        <v>4</v>
      </c>
      <c r="E28" s="8" t="s">
        <v>11</v>
      </c>
      <c r="G28" s="21" t="s">
        <v>115</v>
      </c>
    </row>
    <row r="29" spans="2:7" ht="12.75">
      <c r="B29" s="12" t="s">
        <v>1</v>
      </c>
      <c r="C29" s="12" t="s">
        <v>174</v>
      </c>
      <c r="D29" s="45">
        <f>10^(D6/10)</f>
        <v>1000</v>
      </c>
      <c r="E29" s="12" t="s">
        <v>16</v>
      </c>
      <c r="F29" s="16"/>
      <c r="G29" s="21" t="s">
        <v>175</v>
      </c>
    </row>
    <row r="30" spans="2:7" ht="12.75">
      <c r="B30" s="12" t="s">
        <v>1</v>
      </c>
      <c r="C30" s="12" t="s">
        <v>180</v>
      </c>
      <c r="D30" s="42">
        <f>D28/D29</f>
        <v>0.004</v>
      </c>
      <c r="E30" s="12" t="s">
        <v>11</v>
      </c>
      <c r="F30" s="16"/>
      <c r="G30" s="21" t="s">
        <v>176</v>
      </c>
    </row>
    <row r="31" spans="2:7" ht="12.75">
      <c r="B31" s="12" t="s">
        <v>1</v>
      </c>
      <c r="C31" s="12" t="s">
        <v>181</v>
      </c>
      <c r="D31" s="42">
        <f>D27/D29</f>
        <v>0.1</v>
      </c>
      <c r="E31" s="12" t="s">
        <v>11</v>
      </c>
      <c r="F31" s="16"/>
      <c r="G31" s="21" t="s">
        <v>177</v>
      </c>
    </row>
    <row r="32" spans="2:7" ht="12.75">
      <c r="B32" s="12" t="s">
        <v>1</v>
      </c>
      <c r="C32" s="12" t="s">
        <v>95</v>
      </c>
      <c r="D32" s="42">
        <f>SQRT(D7*50)</f>
        <v>70.71067811865476</v>
      </c>
      <c r="E32" s="12" t="s">
        <v>97</v>
      </c>
      <c r="F32" s="16"/>
      <c r="G32" s="21" t="s">
        <v>184</v>
      </c>
    </row>
    <row r="33" spans="2:7" ht="12.75">
      <c r="B33" s="12" t="s">
        <v>1</v>
      </c>
      <c r="C33" s="12" t="s">
        <v>96</v>
      </c>
      <c r="D33" s="42">
        <f>SQRT(D8*50)</f>
        <v>14.142135623730951</v>
      </c>
      <c r="E33" s="12" t="s">
        <v>97</v>
      </c>
      <c r="F33" s="16"/>
      <c r="G33" s="21" t="s">
        <v>185</v>
      </c>
    </row>
    <row r="34" spans="2:7" ht="12.75">
      <c r="B34" s="12" t="s">
        <v>1</v>
      </c>
      <c r="C34" s="12" t="s">
        <v>182</v>
      </c>
      <c r="D34" s="42">
        <f>SQRT(D30*50)</f>
        <v>0.4472135954999579</v>
      </c>
      <c r="E34" s="12" t="s">
        <v>97</v>
      </c>
      <c r="F34" s="16"/>
      <c r="G34" s="21" t="s">
        <v>186</v>
      </c>
    </row>
    <row r="35" spans="2:7" ht="12.75">
      <c r="B35" s="12" t="s">
        <v>1</v>
      </c>
      <c r="C35" s="12" t="s">
        <v>183</v>
      </c>
      <c r="D35" s="42">
        <f>SQRT(D31*50)</f>
        <v>2.23606797749979</v>
      </c>
      <c r="E35" s="12" t="s">
        <v>97</v>
      </c>
      <c r="F35" s="16"/>
      <c r="G35" s="21" t="s">
        <v>187</v>
      </c>
    </row>
    <row r="36" spans="2:7" ht="12.75">
      <c r="B36" s="21" t="s">
        <v>193</v>
      </c>
      <c r="D36" s="42"/>
      <c r="E36" s="12"/>
      <c r="F36" s="16"/>
      <c r="G36" s="21"/>
    </row>
    <row r="37" spans="2:7" ht="12.75">
      <c r="B37" s="12" t="s">
        <v>1</v>
      </c>
      <c r="C37" s="12" t="s">
        <v>99</v>
      </c>
      <c r="D37" s="42">
        <f>D32-D34</f>
        <v>70.2634645231548</v>
      </c>
      <c r="E37" s="12" t="s">
        <v>97</v>
      </c>
      <c r="F37" s="16"/>
      <c r="G37" s="21" t="s">
        <v>117</v>
      </c>
    </row>
    <row r="38" spans="2:7" ht="12.75">
      <c r="B38" s="12" t="s">
        <v>1</v>
      </c>
      <c r="C38" s="12" t="s">
        <v>98</v>
      </c>
      <c r="D38" s="42">
        <f>D32+D34</f>
        <v>71.15789171415472</v>
      </c>
      <c r="E38" s="12" t="s">
        <v>97</v>
      </c>
      <c r="F38" s="16"/>
      <c r="G38" s="21" t="s">
        <v>116</v>
      </c>
    </row>
    <row r="39" spans="2:7" ht="12.75">
      <c r="B39" s="12" t="s">
        <v>1</v>
      </c>
      <c r="C39" s="12" t="s">
        <v>101</v>
      </c>
      <c r="D39" s="42">
        <f>IF(D33&gt;D35,D33-D35,0)</f>
        <v>11.906067646231161</v>
      </c>
      <c r="E39" s="12" t="s">
        <v>97</v>
      </c>
      <c r="F39" s="16"/>
      <c r="G39" s="21" t="s">
        <v>192</v>
      </c>
    </row>
    <row r="40" spans="2:7" ht="12.75">
      <c r="B40" s="12" t="s">
        <v>1</v>
      </c>
      <c r="C40" s="12" t="s">
        <v>100</v>
      </c>
      <c r="D40" s="42">
        <f>D33+D35</f>
        <v>16.37820360123074</v>
      </c>
      <c r="E40" s="12" t="s">
        <v>97</v>
      </c>
      <c r="F40" s="16"/>
      <c r="G40" s="21" t="s">
        <v>118</v>
      </c>
    </row>
    <row r="41" spans="2:8" s="12" customFormat="1" ht="12.75">
      <c r="B41" s="12" t="s">
        <v>1</v>
      </c>
      <c r="C41" s="12" t="s">
        <v>103</v>
      </c>
      <c r="D41" s="42">
        <f>POWER(D37,2)/50</f>
        <v>98.73908893593266</v>
      </c>
      <c r="E41" s="12" t="s">
        <v>11</v>
      </c>
      <c r="G41" s="21" t="s">
        <v>120</v>
      </c>
      <c r="H41" s="14"/>
    </row>
    <row r="42" spans="2:8" s="12" customFormat="1" ht="12.75">
      <c r="B42" s="12" t="s">
        <v>1</v>
      </c>
      <c r="C42" s="12" t="s">
        <v>138</v>
      </c>
      <c r="D42" s="42">
        <f>100*(D41-D7)/D7</f>
        <v>-1.2609110640673435</v>
      </c>
      <c r="E42" s="12" t="s">
        <v>9</v>
      </c>
      <c r="G42" s="21" t="s">
        <v>189</v>
      </c>
      <c r="H42" s="14"/>
    </row>
    <row r="43" spans="2:8" s="12" customFormat="1" ht="12.75">
      <c r="B43" s="12" t="s">
        <v>1</v>
      </c>
      <c r="C43" s="12" t="s">
        <v>102</v>
      </c>
      <c r="D43" s="42">
        <f>POWER(D38,2)/50</f>
        <v>101.26891106406737</v>
      </c>
      <c r="E43" s="12" t="s">
        <v>11</v>
      </c>
      <c r="G43" s="21" t="s">
        <v>119</v>
      </c>
      <c r="H43" s="14"/>
    </row>
    <row r="44" spans="2:8" s="12" customFormat="1" ht="12.75">
      <c r="B44" s="12" t="s">
        <v>1</v>
      </c>
      <c r="C44" s="12" t="s">
        <v>137</v>
      </c>
      <c r="D44" s="42">
        <f>100*(D43-D7)/D7</f>
        <v>1.2689110640673675</v>
      </c>
      <c r="E44" s="12" t="s">
        <v>9</v>
      </c>
      <c r="G44" s="21" t="s">
        <v>188</v>
      </c>
      <c r="H44" s="14"/>
    </row>
    <row r="45" spans="2:8" s="12" customFormat="1" ht="12.75">
      <c r="B45" s="12" t="s">
        <v>1</v>
      </c>
      <c r="C45" s="12" t="s">
        <v>105</v>
      </c>
      <c r="D45" s="42">
        <f>POWER(D39,2)/50</f>
        <v>2.8350889359326485</v>
      </c>
      <c r="E45" s="12" t="s">
        <v>11</v>
      </c>
      <c r="G45" s="21" t="s">
        <v>122</v>
      </c>
      <c r="H45" s="14"/>
    </row>
    <row r="46" spans="2:8" s="12" customFormat="1" ht="12.75">
      <c r="B46" s="12" t="s">
        <v>1</v>
      </c>
      <c r="C46" s="12" t="s">
        <v>140</v>
      </c>
      <c r="D46" s="42">
        <f>IF(D8=0,0,100*(D45-D8)/D8)</f>
        <v>-29.122776601683785</v>
      </c>
      <c r="E46" s="12" t="s">
        <v>9</v>
      </c>
      <c r="G46" s="21" t="s">
        <v>191</v>
      </c>
      <c r="H46" s="14"/>
    </row>
    <row r="47" spans="2:8" s="12" customFormat="1" ht="12.75">
      <c r="B47" s="12" t="s">
        <v>1</v>
      </c>
      <c r="C47" s="12" t="s">
        <v>104</v>
      </c>
      <c r="D47" s="42">
        <f>POWER(D40,2)/50</f>
        <v>5.364911064067352</v>
      </c>
      <c r="E47" s="12" t="s">
        <v>11</v>
      </c>
      <c r="G47" s="21" t="s">
        <v>121</v>
      </c>
      <c r="H47" s="14"/>
    </row>
    <row r="48" spans="2:8" s="12" customFormat="1" ht="12.75">
      <c r="B48" s="12" t="s">
        <v>1</v>
      </c>
      <c r="C48" s="12" t="s">
        <v>139</v>
      </c>
      <c r="D48" s="42">
        <f>IF(D8=0,0,100*(D47-D8)/D8)</f>
        <v>34.12277660168379</v>
      </c>
      <c r="E48" s="12" t="s">
        <v>9</v>
      </c>
      <c r="G48" s="21" t="s">
        <v>190</v>
      </c>
      <c r="H48" s="14"/>
    </row>
    <row r="49" spans="2:8" s="12" customFormat="1" ht="12.75">
      <c r="B49" s="12" t="s">
        <v>1</v>
      </c>
      <c r="C49" s="12" t="s">
        <v>113</v>
      </c>
      <c r="D49" s="42">
        <f>SQRT(D45/D43)</f>
        <v>0.16731900509445263</v>
      </c>
      <c r="E49" s="12" t="s">
        <v>16</v>
      </c>
      <c r="G49" s="21" t="s">
        <v>129</v>
      </c>
      <c r="H49" s="14"/>
    </row>
    <row r="50" spans="2:10" s="16" customFormat="1" ht="12.75">
      <c r="B50" s="12" t="s">
        <v>1</v>
      </c>
      <c r="C50" s="12" t="s">
        <v>5</v>
      </c>
      <c r="D50" s="42">
        <f>SQRT(D8/D7)</f>
        <v>0.2</v>
      </c>
      <c r="E50" s="12"/>
      <c r="G50" s="21" t="s">
        <v>127</v>
      </c>
      <c r="H50" s="35"/>
      <c r="I50" s="8"/>
      <c r="J50" s="8"/>
    </row>
    <row r="51" spans="2:8" s="12" customFormat="1" ht="12.75">
      <c r="B51" s="12" t="s">
        <v>1</v>
      </c>
      <c r="C51" s="12" t="s">
        <v>112</v>
      </c>
      <c r="D51" s="42">
        <f>SQRT(D47/D41)</f>
        <v>0.23309701154621298</v>
      </c>
      <c r="E51" s="12" t="s">
        <v>16</v>
      </c>
      <c r="G51" s="21" t="s">
        <v>128</v>
      </c>
      <c r="H51" s="14"/>
    </row>
    <row r="52" spans="2:8" s="12" customFormat="1" ht="12.75">
      <c r="B52" s="12" t="s">
        <v>1</v>
      </c>
      <c r="C52" s="12" t="s">
        <v>108</v>
      </c>
      <c r="D52" s="42">
        <f>(1+D49)/(1-D49)</f>
        <v>1.4018802065091733</v>
      </c>
      <c r="E52" s="12" t="s">
        <v>16</v>
      </c>
      <c r="G52" s="21" t="s">
        <v>124</v>
      </c>
      <c r="H52" s="14"/>
    </row>
    <row r="53" spans="2:10" s="16" customFormat="1" ht="12.75">
      <c r="B53" s="12" t="s">
        <v>1</v>
      </c>
      <c r="C53" s="12" t="s">
        <v>2</v>
      </c>
      <c r="D53" s="42">
        <f>(1+D50)/(1-D50)</f>
        <v>1.4999999999999998</v>
      </c>
      <c r="E53" s="12"/>
      <c r="G53" s="21" t="s">
        <v>111</v>
      </c>
      <c r="H53" s="35"/>
      <c r="I53" s="8"/>
      <c r="J53" s="8"/>
    </row>
    <row r="54" spans="2:8" s="12" customFormat="1" ht="12.75">
      <c r="B54" s="12" t="s">
        <v>1</v>
      </c>
      <c r="C54" s="12" t="s">
        <v>107</v>
      </c>
      <c r="D54" s="42">
        <f>(1+D51)/(1-D51)</f>
        <v>1.6078917804615107</v>
      </c>
      <c r="E54" s="12" t="s">
        <v>16</v>
      </c>
      <c r="G54" s="21" t="s">
        <v>123</v>
      </c>
      <c r="H54" s="14"/>
    </row>
    <row r="55" spans="2:8" s="12" customFormat="1" ht="12.75">
      <c r="B55" s="12" t="s">
        <v>1</v>
      </c>
      <c r="C55" s="12" t="s">
        <v>110</v>
      </c>
      <c r="D55" s="46">
        <f>IF(D45=0,"-Infinity",10*LOG(D45/D43))</f>
        <v>-15.529094529362675</v>
      </c>
      <c r="E55" s="12" t="s">
        <v>8</v>
      </c>
      <c r="G55" s="21" t="s">
        <v>126</v>
      </c>
      <c r="H55" s="14"/>
    </row>
    <row r="56" spans="2:11" s="16" customFormat="1" ht="12.75">
      <c r="B56" s="12" t="s">
        <v>1</v>
      </c>
      <c r="C56" s="12" t="s">
        <v>3</v>
      </c>
      <c r="D56" s="46">
        <f>IF(D8=0,"-Infinity",10*LOG(D8/D7))</f>
        <v>-13.979400086720375</v>
      </c>
      <c r="E56" s="12" t="s">
        <v>8</v>
      </c>
      <c r="G56" s="21" t="s">
        <v>178</v>
      </c>
      <c r="H56" s="35"/>
      <c r="I56" s="8"/>
      <c r="J56" s="8"/>
      <c r="K56" s="8"/>
    </row>
    <row r="57" spans="2:8" s="12" customFormat="1" ht="12.75">
      <c r="B57" s="12" t="s">
        <v>1</v>
      </c>
      <c r="C57" s="12" t="s">
        <v>109</v>
      </c>
      <c r="D57" s="42">
        <f>10*LOG(D47/D41)</f>
        <v>-12.649265887572923</v>
      </c>
      <c r="E57" s="12" t="s">
        <v>8</v>
      </c>
      <c r="G57" s="21" t="s">
        <v>125</v>
      </c>
      <c r="H57" s="14"/>
    </row>
  </sheetData>
  <sheetProtection sheet="1" objects="1" scenarios="1"/>
  <mergeCells count="3">
    <mergeCell ref="B4:J4"/>
    <mergeCell ref="B3:J3"/>
    <mergeCell ref="B1:J1"/>
  </mergeCells>
  <dataValidations count="1">
    <dataValidation type="decimal" operator="greaterThanOrEqual" allowBlank="1" showInputMessage="1" showErrorMessage="1" sqref="D6:D8">
      <formula1>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6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241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246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2:9" ht="12.75">
      <c r="B6" s="62" t="s">
        <v>238</v>
      </c>
      <c r="C6" s="62"/>
      <c r="D6" s="62"/>
      <c r="E6" s="62"/>
      <c r="F6" s="62"/>
      <c r="G6" s="62"/>
      <c r="H6" s="62"/>
      <c r="I6" s="62"/>
    </row>
    <row r="7" spans="2:9" ht="12.75">
      <c r="B7" s="62" t="s">
        <v>239</v>
      </c>
      <c r="C7" s="62"/>
      <c r="D7" s="62"/>
      <c r="E7" s="62"/>
      <c r="F7" s="62"/>
      <c r="G7" s="62"/>
      <c r="H7" s="62"/>
      <c r="I7" s="62"/>
    </row>
    <row r="8" spans="2:9" ht="12.75">
      <c r="B8" s="62" t="s">
        <v>242</v>
      </c>
      <c r="C8" s="62"/>
      <c r="D8" s="62"/>
      <c r="E8" s="62"/>
      <c r="F8" s="62"/>
      <c r="G8" s="62"/>
      <c r="H8" s="62"/>
      <c r="I8" s="62"/>
    </row>
    <row r="9" spans="2:9" ht="12.75">
      <c r="B9" s="53"/>
      <c r="C9" s="53"/>
      <c r="D9" s="53"/>
      <c r="E9" s="53"/>
      <c r="F9" s="53"/>
      <c r="G9" s="53"/>
      <c r="H9" s="53"/>
      <c r="I9" s="53"/>
    </row>
    <row r="10" ht="13.5" thickBot="1"/>
    <row r="11" spans="2:11" ht="12.75">
      <c r="B11" s="17" t="s">
        <v>0</v>
      </c>
      <c r="C11" s="12" t="s">
        <v>231</v>
      </c>
      <c r="D11" s="3">
        <v>1.13</v>
      </c>
      <c r="E11" s="8" t="s">
        <v>8</v>
      </c>
      <c r="G11" s="21" t="s">
        <v>244</v>
      </c>
      <c r="K11" s="16"/>
    </row>
    <row r="12" spans="2:11" ht="13.5" thickBot="1">
      <c r="B12" s="17" t="s">
        <v>0</v>
      </c>
      <c r="C12" s="12" t="s">
        <v>213</v>
      </c>
      <c r="D12" s="4">
        <v>230</v>
      </c>
      <c r="E12" s="12" t="s">
        <v>214</v>
      </c>
      <c r="G12" s="21" t="s">
        <v>245</v>
      </c>
      <c r="K12" s="16"/>
    </row>
    <row r="13" spans="2:10" s="16" customFormat="1" ht="13.5" thickBot="1">
      <c r="B13" s="12" t="s">
        <v>1</v>
      </c>
      <c r="C13" s="12" t="s">
        <v>215</v>
      </c>
      <c r="D13" s="14">
        <f>ABS(D11)/100*D12</f>
        <v>2.5989999999999998</v>
      </c>
      <c r="E13" s="12" t="s">
        <v>8</v>
      </c>
      <c r="G13" s="21" t="s">
        <v>216</v>
      </c>
      <c r="H13" s="35"/>
      <c r="I13" s="8"/>
      <c r="J13" s="8"/>
    </row>
    <row r="14" spans="2:11" ht="12.75">
      <c r="B14" s="17" t="s">
        <v>0</v>
      </c>
      <c r="C14" s="12" t="s">
        <v>232</v>
      </c>
      <c r="D14" s="3">
        <v>3.23</v>
      </c>
      <c r="E14" s="8" t="s">
        <v>8</v>
      </c>
      <c r="G14" s="21" t="s">
        <v>244</v>
      </c>
      <c r="K14" s="16"/>
    </row>
    <row r="15" spans="2:11" ht="13.5" thickBot="1">
      <c r="B15" s="17" t="s">
        <v>0</v>
      </c>
      <c r="C15" s="12" t="s">
        <v>233</v>
      </c>
      <c r="D15" s="4">
        <v>10</v>
      </c>
      <c r="E15" s="12" t="s">
        <v>214</v>
      </c>
      <c r="G15" s="21" t="s">
        <v>245</v>
      </c>
      <c r="K15" s="16"/>
    </row>
    <row r="16" spans="2:10" s="16" customFormat="1" ht="13.5" thickBot="1">
      <c r="B16" s="12" t="s">
        <v>1</v>
      </c>
      <c r="C16" s="12" t="s">
        <v>228</v>
      </c>
      <c r="D16" s="14">
        <f>ABS(D14)/100*D15</f>
        <v>0.323</v>
      </c>
      <c r="E16" s="12" t="s">
        <v>8</v>
      </c>
      <c r="G16" s="21" t="s">
        <v>236</v>
      </c>
      <c r="H16" s="35"/>
      <c r="I16" s="8"/>
      <c r="J16" s="8"/>
    </row>
    <row r="17" spans="2:11" ht="12.75">
      <c r="B17" s="17" t="s">
        <v>0</v>
      </c>
      <c r="C17" s="12" t="s">
        <v>230</v>
      </c>
      <c r="D17" s="3">
        <v>3.23</v>
      </c>
      <c r="E17" s="8" t="s">
        <v>8</v>
      </c>
      <c r="G17" s="21" t="s">
        <v>244</v>
      </c>
      <c r="K17" s="16"/>
    </row>
    <row r="18" spans="2:11" ht="13.5" thickBot="1">
      <c r="B18" s="17" t="s">
        <v>0</v>
      </c>
      <c r="C18" s="12" t="s">
        <v>234</v>
      </c>
      <c r="D18" s="4">
        <v>20</v>
      </c>
      <c r="E18" s="12" t="s">
        <v>214</v>
      </c>
      <c r="G18" s="21" t="s">
        <v>245</v>
      </c>
      <c r="K18" s="16"/>
    </row>
    <row r="19" spans="2:10" s="16" customFormat="1" ht="13.5" thickBot="1">
      <c r="B19" s="12" t="s">
        <v>1</v>
      </c>
      <c r="C19" s="12" t="s">
        <v>235</v>
      </c>
      <c r="D19" s="14">
        <f>ABS(D17)/100*D18</f>
        <v>0.646</v>
      </c>
      <c r="E19" s="12" t="s">
        <v>8</v>
      </c>
      <c r="G19" s="21" t="s">
        <v>237</v>
      </c>
      <c r="H19" s="35"/>
      <c r="I19" s="8"/>
      <c r="J19" s="8"/>
    </row>
    <row r="20" spans="2:11" ht="12.75">
      <c r="B20" s="17" t="s">
        <v>0</v>
      </c>
      <c r="C20" s="12" t="s">
        <v>217</v>
      </c>
      <c r="D20" s="3">
        <v>0.05</v>
      </c>
      <c r="E20" s="8" t="s">
        <v>8</v>
      </c>
      <c r="G20" s="21" t="s">
        <v>224</v>
      </c>
      <c r="K20" s="16"/>
    </row>
    <row r="21" spans="2:11" ht="13.5" thickBot="1">
      <c r="B21" s="17" t="s">
        <v>0</v>
      </c>
      <c r="C21" s="12" t="s">
        <v>218</v>
      </c>
      <c r="D21" s="52">
        <v>8</v>
      </c>
      <c r="E21" s="12" t="s">
        <v>16</v>
      </c>
      <c r="G21" s="21" t="s">
        <v>223</v>
      </c>
      <c r="K21" s="16"/>
    </row>
    <row r="22" spans="2:10" s="16" customFormat="1" ht="13.5" thickBot="1">
      <c r="B22" s="12" t="s">
        <v>1</v>
      </c>
      <c r="C22" s="12" t="s">
        <v>219</v>
      </c>
      <c r="D22" s="14">
        <f>ABS(D20)*D21</f>
        <v>0.4</v>
      </c>
      <c r="E22" s="12" t="s">
        <v>8</v>
      </c>
      <c r="G22" s="21" t="s">
        <v>224</v>
      </c>
      <c r="H22" s="35"/>
      <c r="I22" s="8"/>
      <c r="J22" s="8"/>
    </row>
    <row r="23" spans="2:11" ht="12.75">
      <c r="B23" s="17" t="s">
        <v>0</v>
      </c>
      <c r="C23" s="12" t="s">
        <v>220</v>
      </c>
      <c r="D23" s="3">
        <v>0.1</v>
      </c>
      <c r="E23" s="8" t="s">
        <v>8</v>
      </c>
      <c r="G23" s="21" t="s">
        <v>225</v>
      </c>
      <c r="K23" s="16"/>
    </row>
    <row r="24" spans="2:11" ht="12.75">
      <c r="B24" s="17" t="s">
        <v>0</v>
      </c>
      <c r="C24" s="12" t="s">
        <v>221</v>
      </c>
      <c r="D24" s="44">
        <v>0</v>
      </c>
      <c r="E24" s="8" t="s">
        <v>8</v>
      </c>
      <c r="G24" s="21" t="s">
        <v>229</v>
      </c>
      <c r="K24" s="16"/>
    </row>
    <row r="25" spans="2:11" ht="13.5" thickBot="1">
      <c r="B25" s="17" t="s">
        <v>0</v>
      </c>
      <c r="C25" s="12" t="s">
        <v>240</v>
      </c>
      <c r="D25" s="4">
        <v>0</v>
      </c>
      <c r="E25" s="8" t="s">
        <v>8</v>
      </c>
      <c r="G25" s="21" t="s">
        <v>222</v>
      </c>
      <c r="K25" s="16"/>
    </row>
    <row r="26" spans="2:10" s="16" customFormat="1" ht="12.75">
      <c r="B26" s="12" t="s">
        <v>1</v>
      </c>
      <c r="C26" s="12" t="s">
        <v>227</v>
      </c>
      <c r="D26" s="14">
        <f>ABS(D13)+ABS(D16)+ABS(D19)+ABS(D22)+ABS(D23)+ABS(D24)+ABS(D25)</f>
        <v>4.068</v>
      </c>
      <c r="E26" s="12" t="s">
        <v>8</v>
      </c>
      <c r="G26" s="21" t="s">
        <v>226</v>
      </c>
      <c r="H26" s="35"/>
      <c r="I26" s="8"/>
      <c r="J26" s="8"/>
    </row>
  </sheetData>
  <sheetProtection sheet="1" objects="1" scenarios="1"/>
  <mergeCells count="6">
    <mergeCell ref="B1:I1"/>
    <mergeCell ref="B7:I7"/>
    <mergeCell ref="B8:I8"/>
    <mergeCell ref="B4:I4"/>
    <mergeCell ref="B3:I3"/>
    <mergeCell ref="B6:I6"/>
  </mergeCells>
  <dataValidations count="2">
    <dataValidation type="decimal" operator="greaterThanOrEqual" allowBlank="1" showInputMessage="1" showErrorMessage="1" sqref="D12 D15 D18 D21">
      <formula1>0</formula1>
    </dataValidation>
    <dataValidation type="decimal" operator="greaterThanOrEqual" allowBlank="1" showInputMessage="1" showErrorMessage="1" sqref="D11 D17 D14 D23:D25 D20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K31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0.7109375" style="8" customWidth="1"/>
    <col min="3" max="3" width="27.7109375" style="12" customWidth="1"/>
    <col min="4" max="4" width="10.7109375" style="8" customWidth="1"/>
    <col min="5" max="5" width="3.7109375" style="8" customWidth="1"/>
    <col min="6" max="6" width="5.7109375" style="8" customWidth="1"/>
    <col min="7" max="7" width="10.7109375" style="8" customWidth="1"/>
    <col min="8" max="8" width="7.7109375" style="35" customWidth="1"/>
    <col min="9" max="9" width="18.14062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243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199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9"/>
      <c r="B5" s="37"/>
      <c r="C5" s="37"/>
      <c r="D5" s="37"/>
      <c r="E5" s="37"/>
      <c r="F5" s="37"/>
      <c r="G5" s="37"/>
      <c r="H5" s="37"/>
      <c r="I5" s="37"/>
      <c r="J5" s="37"/>
    </row>
    <row r="6" ht="13.5" thickBot="1"/>
    <row r="7" spans="2:11" ht="12.75">
      <c r="B7" s="17" t="s">
        <v>0</v>
      </c>
      <c r="C7" s="12" t="s">
        <v>141</v>
      </c>
      <c r="D7" s="3">
        <v>3</v>
      </c>
      <c r="E7" s="8" t="s">
        <v>8</v>
      </c>
      <c r="G7" s="21" t="s">
        <v>169</v>
      </c>
      <c r="K7" s="16"/>
    </row>
    <row r="8" spans="2:11" ht="13.5" thickBot="1">
      <c r="B8" s="17" t="s">
        <v>0</v>
      </c>
      <c r="C8" s="12" t="s">
        <v>152</v>
      </c>
      <c r="D8" s="4">
        <v>1.5</v>
      </c>
      <c r="G8" s="21" t="s">
        <v>170</v>
      </c>
      <c r="K8" s="16"/>
    </row>
    <row r="9" spans="2:10" s="16" customFormat="1" ht="12.75">
      <c r="B9" s="12" t="s">
        <v>1</v>
      </c>
      <c r="C9" s="12" t="s">
        <v>148</v>
      </c>
      <c r="D9" s="51">
        <f>IF(-ABS(10*LOG(POWER((D8-1)/(D8+1),2)))+2*ABS(D7)&gt;=-0.17,"100+",(1+SQRT(POWER(10,(10*LOG(POWER((D8-1)/(D8+1),2))+2*ABS(D7))/10)))/(1-SQRT(POWER(10,(10*LOG(POWER((D8-1)/(D8+1),2))+2*ABS(D7))/10))))</f>
        <v>2.328077538953764</v>
      </c>
      <c r="E9" s="12"/>
      <c r="G9" s="21" t="s">
        <v>168</v>
      </c>
      <c r="H9" s="35"/>
      <c r="I9" s="8"/>
      <c r="J9" s="8"/>
    </row>
    <row r="10" spans="2:10" s="16" customFormat="1" ht="12.75">
      <c r="B10" s="12"/>
      <c r="C10" s="12"/>
      <c r="D10" s="51"/>
      <c r="E10" s="12"/>
      <c r="G10" s="21"/>
      <c r="H10" s="35"/>
      <c r="I10" s="8"/>
      <c r="J10" s="8"/>
    </row>
    <row r="11" ht="13.5" thickBot="1"/>
    <row r="12" spans="2:11" ht="12.75">
      <c r="B12" s="17" t="s">
        <v>0</v>
      </c>
      <c r="C12" s="12" t="s">
        <v>141</v>
      </c>
      <c r="D12" s="3">
        <v>3</v>
      </c>
      <c r="E12" s="8" t="s">
        <v>8</v>
      </c>
      <c r="G12" s="21" t="s">
        <v>143</v>
      </c>
      <c r="K12" s="16"/>
    </row>
    <row r="13" spans="2:11" ht="13.5" thickBot="1">
      <c r="B13" s="17" t="s">
        <v>0</v>
      </c>
      <c r="C13" s="12" t="s">
        <v>153</v>
      </c>
      <c r="D13" s="4">
        <v>-14</v>
      </c>
      <c r="E13" s="8" t="s">
        <v>8</v>
      </c>
      <c r="G13" s="21" t="s">
        <v>154</v>
      </c>
      <c r="K13" s="16"/>
    </row>
    <row r="14" spans="2:10" s="16" customFormat="1" ht="12.75">
      <c r="B14" s="12" t="s">
        <v>1</v>
      </c>
      <c r="C14" s="12" t="s">
        <v>149</v>
      </c>
      <c r="D14" s="14">
        <f>IF(-ABS(D13)+2*ABS(D12)&gt;=0,0,-ABS(D13)+2*ABS(D12))</f>
        <v>-8</v>
      </c>
      <c r="E14" s="12" t="s">
        <v>8</v>
      </c>
      <c r="G14" s="21" t="s">
        <v>155</v>
      </c>
      <c r="H14" s="35"/>
      <c r="I14" s="8"/>
      <c r="J14" s="8"/>
    </row>
    <row r="16" ht="13.5" thickBot="1"/>
    <row r="17" spans="2:11" ht="12.75">
      <c r="B17" s="17" t="s">
        <v>0</v>
      </c>
      <c r="C17" s="12" t="s">
        <v>141</v>
      </c>
      <c r="D17" s="3">
        <v>3</v>
      </c>
      <c r="E17" s="8" t="s">
        <v>8</v>
      </c>
      <c r="G17" s="21" t="s">
        <v>143</v>
      </c>
      <c r="K17" s="16"/>
    </row>
    <row r="18" spans="2:7" ht="12.75">
      <c r="B18" s="17" t="s">
        <v>0</v>
      </c>
      <c r="C18" s="12" t="s">
        <v>156</v>
      </c>
      <c r="D18" s="44">
        <v>100</v>
      </c>
      <c r="E18" s="8" t="s">
        <v>11</v>
      </c>
      <c r="G18" s="21" t="s">
        <v>159</v>
      </c>
    </row>
    <row r="19" spans="2:11" ht="13.5" thickBot="1">
      <c r="B19" s="17" t="s">
        <v>0</v>
      </c>
      <c r="C19" s="12" t="s">
        <v>157</v>
      </c>
      <c r="D19" s="4">
        <v>4</v>
      </c>
      <c r="E19" s="8" t="s">
        <v>11</v>
      </c>
      <c r="G19" s="21" t="s">
        <v>160</v>
      </c>
      <c r="K19" s="16"/>
    </row>
    <row r="20" spans="2:10" s="16" customFormat="1" ht="12.75">
      <c r="B20" s="12" t="s">
        <v>1</v>
      </c>
      <c r="C20" s="12" t="s">
        <v>158</v>
      </c>
      <c r="D20" s="14">
        <f>SQRT(D19/D18)</f>
        <v>0.2</v>
      </c>
      <c r="E20" s="12"/>
      <c r="G20" s="21" t="s">
        <v>161</v>
      </c>
      <c r="H20" s="35"/>
      <c r="I20" s="8"/>
      <c r="J20" s="8"/>
    </row>
    <row r="21" spans="2:10" s="16" customFormat="1" ht="12.75">
      <c r="B21" s="12" t="s">
        <v>1</v>
      </c>
      <c r="C21" s="12" t="s">
        <v>152</v>
      </c>
      <c r="D21" s="14">
        <f>(1+D20)/(1-D20)</f>
        <v>1.4999999999999998</v>
      </c>
      <c r="E21" s="12"/>
      <c r="G21" s="21" t="s">
        <v>162</v>
      </c>
      <c r="H21" s="35"/>
      <c r="I21" s="8"/>
      <c r="J21" s="8"/>
    </row>
    <row r="22" spans="2:11" s="16" customFormat="1" ht="12.75">
      <c r="B22" s="12" t="s">
        <v>1</v>
      </c>
      <c r="C22" s="12" t="s">
        <v>153</v>
      </c>
      <c r="D22" s="51">
        <f>IF(D19&lt;=0,"-Infinity",10*LOG(D19/D18))</f>
        <v>-13.979400086720375</v>
      </c>
      <c r="E22" s="12" t="s">
        <v>8</v>
      </c>
      <c r="G22" s="21" t="s">
        <v>163</v>
      </c>
      <c r="H22" s="35"/>
      <c r="I22" s="8"/>
      <c r="J22" s="8"/>
      <c r="K22" s="8"/>
    </row>
    <row r="23" spans="2:11" s="16" customFormat="1" ht="12.75">
      <c r="B23" s="12" t="s">
        <v>1</v>
      </c>
      <c r="C23" s="12" t="s">
        <v>156</v>
      </c>
      <c r="D23" s="14">
        <f>10*LOG(D18)+30</f>
        <v>50</v>
      </c>
      <c r="E23" s="12" t="s">
        <v>14</v>
      </c>
      <c r="G23" s="21" t="s">
        <v>164</v>
      </c>
      <c r="H23" s="35"/>
      <c r="I23" s="8"/>
      <c r="J23" s="8"/>
      <c r="K23" s="8"/>
    </row>
    <row r="24" spans="2:11" s="16" customFormat="1" ht="12.75">
      <c r="B24" s="12" t="s">
        <v>1</v>
      </c>
      <c r="C24" s="12" t="s">
        <v>171</v>
      </c>
      <c r="D24" s="14">
        <f>D23-ABS(D17)</f>
        <v>47</v>
      </c>
      <c r="E24" s="12" t="s">
        <v>14</v>
      </c>
      <c r="G24" s="21" t="s">
        <v>165</v>
      </c>
      <c r="H24" s="35"/>
      <c r="I24" s="8"/>
      <c r="J24" s="8"/>
      <c r="K24" s="8"/>
    </row>
    <row r="25" spans="2:11" s="16" customFormat="1" ht="12.75">
      <c r="B25" s="12" t="s">
        <v>1</v>
      </c>
      <c r="C25" s="12" t="s">
        <v>157</v>
      </c>
      <c r="D25" s="51">
        <f>IF(D19&lt;=0,"-Infinity",10*LOG(D19)+30)</f>
        <v>36.020599913279625</v>
      </c>
      <c r="E25" s="12" t="s">
        <v>14</v>
      </c>
      <c r="G25" s="21" t="s">
        <v>166</v>
      </c>
      <c r="H25" s="35"/>
      <c r="I25" s="8"/>
      <c r="J25" s="8"/>
      <c r="K25" s="8"/>
    </row>
    <row r="26" spans="2:11" s="16" customFormat="1" ht="12.75">
      <c r="B26" s="12" t="s">
        <v>1</v>
      </c>
      <c r="C26" s="12" t="s">
        <v>172</v>
      </c>
      <c r="D26" s="51">
        <f>IF(D25="-Infinity","-Infinity",IF(D25+ABS(D17)&gt;D24,D24,D25+ABS(D17)))</f>
        <v>39.020599913279625</v>
      </c>
      <c r="E26" s="12" t="s">
        <v>14</v>
      </c>
      <c r="G26" s="21" t="s">
        <v>167</v>
      </c>
      <c r="H26" s="35"/>
      <c r="I26" s="8"/>
      <c r="J26" s="8"/>
      <c r="K26" s="8"/>
    </row>
    <row r="27" spans="2:11" s="16" customFormat="1" ht="12.75">
      <c r="B27" s="12" t="s">
        <v>1</v>
      </c>
      <c r="C27" s="12" t="s">
        <v>171</v>
      </c>
      <c r="D27" s="14">
        <f>POWER(10,((D24-30)/10))</f>
        <v>50.11872336272724</v>
      </c>
      <c r="E27" s="12" t="s">
        <v>11</v>
      </c>
      <c r="G27" s="21" t="s">
        <v>144</v>
      </c>
      <c r="H27" s="35"/>
      <c r="I27" s="8"/>
      <c r="J27" s="8"/>
      <c r="K27" s="8"/>
    </row>
    <row r="28" spans="2:11" s="16" customFormat="1" ht="12.75">
      <c r="B28" s="12" t="s">
        <v>1</v>
      </c>
      <c r="C28" s="12" t="s">
        <v>172</v>
      </c>
      <c r="D28" s="14">
        <f>IF(D26="-Infinity",0,POWER(10,((D26-30)/10)))</f>
        <v>7.981049259875522</v>
      </c>
      <c r="E28" s="12" t="s">
        <v>11</v>
      </c>
      <c r="G28" s="21" t="s">
        <v>145</v>
      </c>
      <c r="H28" s="35"/>
      <c r="I28" s="8"/>
      <c r="J28" s="8"/>
      <c r="K28" s="8"/>
    </row>
    <row r="29" spans="2:10" s="16" customFormat="1" ht="12.75">
      <c r="B29" s="12" t="s">
        <v>1</v>
      </c>
      <c r="C29" s="12" t="s">
        <v>150</v>
      </c>
      <c r="D29" s="14">
        <f>SQRT(D28/D27)</f>
        <v>0.39905246299377595</v>
      </c>
      <c r="E29" s="12"/>
      <c r="G29" s="21" t="s">
        <v>151</v>
      </c>
      <c r="H29" s="35"/>
      <c r="I29" s="8"/>
      <c r="J29" s="8"/>
    </row>
    <row r="30" spans="2:10" s="16" customFormat="1" ht="12.75">
      <c r="B30" s="12" t="s">
        <v>1</v>
      </c>
      <c r="C30" s="12" t="s">
        <v>148</v>
      </c>
      <c r="D30" s="51">
        <f>IF(D29&gt;0.98,"100+",(1+D29)/(1-D29))</f>
        <v>2.328077538953764</v>
      </c>
      <c r="E30" s="12"/>
      <c r="G30" s="21" t="s">
        <v>146</v>
      </c>
      <c r="H30" s="35"/>
      <c r="I30" s="8"/>
      <c r="J30" s="8"/>
    </row>
    <row r="31" spans="2:11" s="16" customFormat="1" ht="12.75">
      <c r="B31" s="12" t="s">
        <v>1</v>
      </c>
      <c r="C31" s="12" t="s">
        <v>149</v>
      </c>
      <c r="D31" s="51">
        <f>IF(D28&lt;=0,"-Infinity",10*LOG(D28/D27))</f>
        <v>-7.979400086720375</v>
      </c>
      <c r="E31" s="12" t="s">
        <v>8</v>
      </c>
      <c r="G31" s="21" t="s">
        <v>147</v>
      </c>
      <c r="H31" s="35"/>
      <c r="I31" s="8"/>
      <c r="J31" s="8"/>
      <c r="K31" s="8"/>
    </row>
  </sheetData>
  <sheetProtection sheet="1" objects="1" scenarios="1"/>
  <mergeCells count="3">
    <mergeCell ref="B1:I1"/>
    <mergeCell ref="B3:I3"/>
    <mergeCell ref="B4:I4"/>
  </mergeCells>
  <dataValidations count="2">
    <dataValidation type="decimal" operator="greaterThanOrEqual" allowBlank="1" showInputMessage="1" showErrorMessage="1" sqref="D8 D18:D19">
      <formula1>0</formula1>
    </dataValidation>
    <dataValidation type="decimal" operator="greaterThanOrEqual" allowBlank="1" showInputMessage="1" showErrorMessage="1" sqref="D17 D7 D12:D13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22"/>
  <sheetViews>
    <sheetView workbookViewId="0" topLeftCell="A1">
      <selection activeCell="A23" sqref="A23"/>
    </sheetView>
  </sheetViews>
  <sheetFormatPr defaultColWidth="9.140625" defaultRowHeight="12.75"/>
  <cols>
    <col min="1" max="1" width="5.7109375" style="8" customWidth="1"/>
    <col min="2" max="2" width="13.7109375" style="8" customWidth="1"/>
    <col min="3" max="3" width="21.7109375" style="12" customWidth="1"/>
    <col min="4" max="4" width="10.7109375" style="8" customWidth="1"/>
    <col min="5" max="5" width="3.7109375" style="8" customWidth="1"/>
    <col min="6" max="6" width="7.7109375" style="8" customWidth="1"/>
    <col min="7" max="7" width="30.7109375" style="8" customWidth="1"/>
    <col min="8" max="8" width="7.7109375" style="35" customWidth="1"/>
    <col min="9" max="9" width="5.7109375" style="8" customWidth="1"/>
    <col min="10" max="10" width="10.7109375" style="8" customWidth="1"/>
    <col min="11" max="11" width="5.7109375" style="8" customWidth="1"/>
    <col min="12" max="16384" width="9.140625" style="8" customWidth="1"/>
  </cols>
  <sheetData>
    <row r="1" spans="2:10" ht="12.75">
      <c r="B1" s="57" t="s">
        <v>203</v>
      </c>
      <c r="C1" s="57"/>
      <c r="D1" s="57"/>
      <c r="E1" s="57"/>
      <c r="F1" s="57"/>
      <c r="G1" s="57"/>
      <c r="H1" s="57"/>
      <c r="I1" s="57"/>
      <c r="J1" s="37"/>
    </row>
    <row r="2" spans="2:10" ht="12.75">
      <c r="B2" s="37"/>
      <c r="C2" s="37"/>
      <c r="D2" s="37"/>
      <c r="E2" s="37"/>
      <c r="F2" s="37"/>
      <c r="G2" s="37"/>
      <c r="H2" s="37"/>
      <c r="I2" s="37"/>
      <c r="J2" s="37"/>
    </row>
    <row r="3" spans="1:11" ht="22.5">
      <c r="A3" s="36"/>
      <c r="B3" s="61" t="s">
        <v>252</v>
      </c>
      <c r="C3" s="61"/>
      <c r="D3" s="61"/>
      <c r="E3" s="61"/>
      <c r="F3" s="61"/>
      <c r="G3" s="61"/>
      <c r="H3" s="61"/>
      <c r="I3" s="61"/>
      <c r="J3" s="49"/>
      <c r="K3" s="30"/>
    </row>
    <row r="4" spans="1:10" ht="12.75">
      <c r="A4" s="36"/>
      <c r="B4" s="57" t="s">
        <v>284</v>
      </c>
      <c r="C4" s="57"/>
      <c r="D4" s="57"/>
      <c r="E4" s="57"/>
      <c r="F4" s="57"/>
      <c r="G4" s="57"/>
      <c r="H4" s="57"/>
      <c r="I4" s="57"/>
      <c r="J4" s="37"/>
    </row>
    <row r="5" spans="1:10" ht="12.75">
      <c r="A5" s="36"/>
      <c r="B5" s="37"/>
      <c r="C5" s="37"/>
      <c r="D5" s="37"/>
      <c r="E5" s="37"/>
      <c r="F5" s="37"/>
      <c r="G5" s="37"/>
      <c r="H5" s="37"/>
      <c r="I5" s="37"/>
      <c r="J5" s="37"/>
    </row>
    <row r="6" spans="1:10" ht="13.5" thickBot="1">
      <c r="A6" s="36"/>
      <c r="B6" s="37"/>
      <c r="C6" s="37"/>
      <c r="D6" s="37"/>
      <c r="E6" s="37"/>
      <c r="F6" s="37"/>
      <c r="G6" s="37"/>
      <c r="H6" s="37"/>
      <c r="I6" s="37"/>
      <c r="J6" s="37"/>
    </row>
    <row r="7" spans="2:11" ht="12.75">
      <c r="B7" s="17" t="s">
        <v>0</v>
      </c>
      <c r="C7" s="12" t="s">
        <v>283</v>
      </c>
      <c r="D7" s="54">
        <v>-30</v>
      </c>
      <c r="E7" s="8" t="s">
        <v>14</v>
      </c>
      <c r="G7" s="21" t="s">
        <v>279</v>
      </c>
      <c r="K7" s="16"/>
    </row>
    <row r="8" spans="2:11" ht="12.75">
      <c r="B8" s="17" t="s">
        <v>0</v>
      </c>
      <c r="C8" s="12" t="s">
        <v>248</v>
      </c>
      <c r="D8" s="55">
        <v>155</v>
      </c>
      <c r="E8" s="8" t="s">
        <v>249</v>
      </c>
      <c r="G8" s="21" t="s">
        <v>281</v>
      </c>
      <c r="K8" s="16"/>
    </row>
    <row r="9" spans="2:11" ht="13.5" thickBot="1">
      <c r="B9" s="17" t="s">
        <v>0</v>
      </c>
      <c r="C9" s="12" t="s">
        <v>282</v>
      </c>
      <c r="D9" s="56">
        <v>3</v>
      </c>
      <c r="E9" s="8" t="s">
        <v>8</v>
      </c>
      <c r="G9" s="21" t="s">
        <v>280</v>
      </c>
      <c r="K9" s="16"/>
    </row>
    <row r="10" spans="2:5" ht="12.75">
      <c r="B10" s="12" t="s">
        <v>1</v>
      </c>
      <c r="C10" s="12" t="s">
        <v>251</v>
      </c>
      <c r="D10" s="25">
        <f>20*LOG(D8)-D9-29.8</f>
        <v>11.006633963405829</v>
      </c>
      <c r="E10" s="8" t="s">
        <v>8</v>
      </c>
    </row>
    <row r="11" spans="2:7" ht="12.75">
      <c r="B11" s="12" t="s">
        <v>1</v>
      </c>
      <c r="C11" s="12" t="s">
        <v>247</v>
      </c>
      <c r="D11" s="25">
        <f>D7+107</f>
        <v>77</v>
      </c>
      <c r="E11" s="8" t="s">
        <v>250</v>
      </c>
      <c r="G11" s="21" t="s">
        <v>285</v>
      </c>
    </row>
    <row r="12" spans="2:7" ht="12.75">
      <c r="B12" s="12" t="s">
        <v>1</v>
      </c>
      <c r="C12" s="12" t="s">
        <v>247</v>
      </c>
      <c r="D12" s="25">
        <f>D11+D10</f>
        <v>88.00663396340583</v>
      </c>
      <c r="E12" s="8" t="s">
        <v>253</v>
      </c>
      <c r="G12" s="21" t="s">
        <v>286</v>
      </c>
    </row>
    <row r="13" spans="2:7" ht="12.75">
      <c r="B13" s="12" t="s">
        <v>1</v>
      </c>
      <c r="C13" s="12" t="s">
        <v>254</v>
      </c>
      <c r="D13" s="25">
        <f>D15/1000000</f>
        <v>0.02513805650906347</v>
      </c>
      <c r="E13" s="8" t="s">
        <v>256</v>
      </c>
      <c r="G13" s="21" t="s">
        <v>287</v>
      </c>
    </row>
    <row r="14" spans="2:5" ht="12.75">
      <c r="B14" s="12" t="s">
        <v>1</v>
      </c>
      <c r="C14" s="12" t="s">
        <v>254</v>
      </c>
      <c r="D14" s="25">
        <f>D15/1000</f>
        <v>25.13805650906347</v>
      </c>
      <c r="E14" s="8" t="s">
        <v>257</v>
      </c>
    </row>
    <row r="15" spans="2:5" ht="12.75">
      <c r="B15" s="12" t="s">
        <v>1</v>
      </c>
      <c r="C15" s="12" t="s">
        <v>254</v>
      </c>
      <c r="D15" s="25">
        <f>POWER(10,D12/20)</f>
        <v>25138.05650906347</v>
      </c>
      <c r="E15" s="8" t="s">
        <v>255</v>
      </c>
    </row>
    <row r="18" spans="2:9" ht="12.75">
      <c r="B18" s="57" t="s">
        <v>258</v>
      </c>
      <c r="C18" s="57"/>
      <c r="D18" s="57"/>
      <c r="E18" s="57"/>
      <c r="F18" s="57"/>
      <c r="G18" s="57"/>
      <c r="H18" s="57"/>
      <c r="I18" s="57"/>
    </row>
    <row r="19" spans="2:9" ht="12.75">
      <c r="B19" s="57" t="s">
        <v>259</v>
      </c>
      <c r="C19" s="57"/>
      <c r="D19" s="57"/>
      <c r="E19" s="57"/>
      <c r="F19" s="57"/>
      <c r="G19" s="57"/>
      <c r="H19" s="57"/>
      <c r="I19" s="57"/>
    </row>
    <row r="20" spans="2:9" ht="12.75">
      <c r="B20" s="57" t="s">
        <v>260</v>
      </c>
      <c r="C20" s="57"/>
      <c r="D20" s="57"/>
      <c r="E20" s="57"/>
      <c r="F20" s="57"/>
      <c r="G20" s="57"/>
      <c r="H20" s="57"/>
      <c r="I20" s="57"/>
    </row>
    <row r="21" spans="2:9" ht="12.75">
      <c r="B21" s="57" t="s">
        <v>262</v>
      </c>
      <c r="C21" s="57"/>
      <c r="D21" s="57"/>
      <c r="E21" s="57"/>
      <c r="F21" s="57"/>
      <c r="G21" s="57"/>
      <c r="H21" s="57"/>
      <c r="I21" s="57"/>
    </row>
    <row r="22" spans="2:9" ht="12.75">
      <c r="B22" s="57" t="s">
        <v>261</v>
      </c>
      <c r="C22" s="57"/>
      <c r="D22" s="57"/>
      <c r="E22" s="57"/>
      <c r="F22" s="57"/>
      <c r="G22" s="57"/>
      <c r="H22" s="57"/>
      <c r="I22" s="57"/>
    </row>
  </sheetData>
  <sheetProtection sheet="1" objects="1" scenarios="1"/>
  <mergeCells count="8">
    <mergeCell ref="B22:I22"/>
    <mergeCell ref="B1:I1"/>
    <mergeCell ref="B4:I4"/>
    <mergeCell ref="B3:I3"/>
    <mergeCell ref="B18:I18"/>
    <mergeCell ref="B19:I19"/>
    <mergeCell ref="B20:I20"/>
    <mergeCell ref="B21:I21"/>
  </mergeCells>
  <dataValidations count="1">
    <dataValidation type="decimal" operator="greaterThanOrEqual" allowBlank="1" showInputMessage="1" showErrorMessage="1" sqref="D7:D9">
      <formula1>-200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Bird Electronic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 Electronic Corporation</dc:creator>
  <cp:keywords/>
  <dc:description/>
  <cp:lastModifiedBy>Bob</cp:lastModifiedBy>
  <cp:lastPrinted>2004-01-05T19:11:07Z</cp:lastPrinted>
  <dcterms:created xsi:type="dcterms:W3CDTF">2002-02-28T14:07:23Z</dcterms:created>
  <dcterms:modified xsi:type="dcterms:W3CDTF">2017-11-01T16:57:44Z</dcterms:modified>
  <cp:category/>
  <cp:version/>
  <cp:contentType/>
  <cp:contentStatus/>
</cp:coreProperties>
</file>